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2021\PROYECTOS\PIAAG\INFORMES\INFORME_PLANIFICACION_I_SEMESTRES_2021\INFORMACION_I_SEMESTRE_2021\"/>
    </mc:Choice>
  </mc:AlternateContent>
  <bookViews>
    <workbookView xWindow="0" yWindow="0" windowWidth="19200" windowHeight="5890" tabRatio="834" activeTab="2"/>
  </bookViews>
  <sheets>
    <sheet name="Portada" sheetId="3" r:id="rId1"/>
    <sheet name="Preinversion PIAAG" sheetId="7" r:id="rId2"/>
    <sheet name="Preinversion+Ejecucion PIAAG" sheetId="4" r:id="rId3"/>
    <sheet name="Ejecucion PIAAG" sheetId="11" r:id="rId4"/>
    <sheet name="Proyectos Gestion PIAAG" sheetId="12" r:id="rId5"/>
  </sheets>
  <definedNames>
    <definedName name="_xlnm._FilterDatabase" localSheetId="2" hidden="1">'Preinversion+Ejecucion PIAAG'!$A$3:$AQ$12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9" i="4" l="1"/>
  <c r="AL9" i="4"/>
  <c r="AM8" i="4"/>
  <c r="P12" i="12" l="1"/>
  <c r="P11" i="12"/>
  <c r="P10" i="12"/>
  <c r="P9" i="12"/>
  <c r="P8" i="12"/>
  <c r="P7" i="12"/>
  <c r="P6" i="12"/>
  <c r="P5" i="12"/>
  <c r="P18" i="12" l="1"/>
  <c r="Z9" i="11"/>
  <c r="Q8" i="11"/>
  <c r="L8" i="11"/>
  <c r="Q7" i="11"/>
  <c r="L7" i="11"/>
  <c r="Q6" i="11"/>
  <c r="L6" i="11"/>
  <c r="Q5" i="11"/>
  <c r="L5" i="11"/>
  <c r="AN12" i="4"/>
  <c r="X12" i="4"/>
  <c r="S12" i="4"/>
  <c r="N12" i="4"/>
  <c r="AN11" i="4"/>
  <c r="X11" i="4"/>
  <c r="S11" i="4"/>
  <c r="N11" i="4"/>
  <c r="AM10" i="4"/>
  <c r="AL10" i="4"/>
  <c r="AK10" i="4"/>
  <c r="AI10" i="4"/>
  <c r="X10" i="4"/>
  <c r="Q10" i="4"/>
  <c r="P10" i="4"/>
  <c r="O10" i="4"/>
  <c r="N10" i="4"/>
  <c r="AN9" i="4"/>
  <c r="X9" i="4"/>
  <c r="S9" i="4"/>
  <c r="N9" i="4"/>
  <c r="AL8" i="4"/>
  <c r="AK8" i="4"/>
  <c r="AI8" i="4"/>
  <c r="AH8" i="4"/>
  <c r="AG8" i="4"/>
  <c r="X8" i="4"/>
  <c r="S8" i="4"/>
  <c r="N8" i="4"/>
  <c r="S10" i="4" l="1"/>
  <c r="AN10" i="4"/>
  <c r="AN8" i="4"/>
  <c r="AJ6" i="7" l="1"/>
  <c r="AJ7" i="7" s="1"/>
  <c r="V6" i="7"/>
  <c r="Q6" i="7"/>
  <c r="L6" i="7"/>
  <c r="AJ5" i="7"/>
  <c r="V5" i="7"/>
  <c r="Q5" i="7"/>
  <c r="L5" i="7"/>
  <c r="AN7" i="4" l="1"/>
  <c r="AN6" i="4"/>
  <c r="AN5" i="4"/>
  <c r="AN13" i="4" s="1"/>
  <c r="X6" i="4" l="1"/>
  <c r="S6" i="4"/>
  <c r="N6" i="4"/>
  <c r="X7" i="4" l="1"/>
  <c r="S7" i="4"/>
  <c r="N7" i="4"/>
  <c r="X5" i="4"/>
  <c r="S5" i="4"/>
  <c r="N5" i="4"/>
</calcChain>
</file>

<file path=xl/sharedStrings.xml><?xml version="1.0" encoding="utf-8"?>
<sst xmlns="http://schemas.openxmlformats.org/spreadsheetml/2006/main" count="442" uniqueCount="210">
  <si>
    <t>Proyectos en Fase de Preinversión</t>
  </si>
  <si>
    <t xml:space="preserve">REPORTE DE AVANCE SEMESTRAL </t>
  </si>
  <si>
    <t>#</t>
  </si>
  <si>
    <t>Código BPIP</t>
  </si>
  <si>
    <t>Nombre del proyecto</t>
  </si>
  <si>
    <t>Institución</t>
  </si>
  <si>
    <t>Objetivo del proyecto</t>
  </si>
  <si>
    <t>Indicador de avance del proyecto</t>
  </si>
  <si>
    <t>Línea Base 2018</t>
  </si>
  <si>
    <t>Meta del periodo 
2019 - 2022</t>
  </si>
  <si>
    <t>Estimación presupuestaria 
(Millones de colones)</t>
  </si>
  <si>
    <t>Fuente de financiamiento</t>
  </si>
  <si>
    <t>Responsable
ejecutor</t>
  </si>
  <si>
    <t>Fecha de inicio 
(Mes / Año)</t>
  </si>
  <si>
    <t>Fecha de finalización
(Mes / Año)</t>
  </si>
  <si>
    <t>Nueva Fecha Estimada de finalización
(Mes / Año)</t>
  </si>
  <si>
    <t>Observaciones / Comentarios sobre el avance del proyecto</t>
  </si>
  <si>
    <t>Perfil 
(5%)</t>
  </si>
  <si>
    <t>Prefactibilidad 
(10%)</t>
  </si>
  <si>
    <t>Factibilidad (40%)</t>
  </si>
  <si>
    <t>Viabilidad Ambiental 
(30%)</t>
  </si>
  <si>
    <t>Diseño final
(15%)</t>
  </si>
  <si>
    <t>Linea Base 2018 
(%)</t>
  </si>
  <si>
    <t>Total Periodo 
2019 - 2022</t>
  </si>
  <si>
    <t>% de Avance Total</t>
  </si>
  <si>
    <t>No está inscrito</t>
  </si>
  <si>
    <t>SENARA</t>
  </si>
  <si>
    <t>Porcentaje de avance de la Fase de Preinversión</t>
  </si>
  <si>
    <t>Senara.
Dirección de Ingeniería y Desarrollo de Proyectos. Oficina Región Chorotega</t>
  </si>
  <si>
    <t>Trasvase de aguas del río Cañas al Canal del Sur, Distrito de Riego Arenal Tempisque (DRAT)</t>
  </si>
  <si>
    <t>Senara,
DRAT</t>
  </si>
  <si>
    <t>300 productores usuarios del DRAT</t>
  </si>
  <si>
    <t>Avance TOTAL =</t>
  </si>
  <si>
    <t>Proyectos en Fase de Preinversión + Ejecución</t>
  </si>
  <si>
    <t>Perfil 
(1%)</t>
  </si>
  <si>
    <t>Prefactibilidad 
(2%)</t>
  </si>
  <si>
    <t>Factibilidad (3%)</t>
  </si>
  <si>
    <t>Viabilidad Ambiental 
(3%)</t>
  </si>
  <si>
    <t>Diseño final
(3%)</t>
  </si>
  <si>
    <t>Licitación y Orden de inicio 
(3%)</t>
  </si>
  <si>
    <t>Ejecución 
(85%)</t>
  </si>
  <si>
    <t xml:space="preserve">Total </t>
  </si>
  <si>
    <t xml:space="preserve">Construcción de Riego para el Asentamiento Campesino La Urraca </t>
  </si>
  <si>
    <t>Implementar el sistema de riego para la totalidad de la finca de manera que se tengan 25 unidades productivas de 4 hectáreas en promedio, de las cuales se equiparía completamente (incluyendo la cinta de goteo) una hectárea para que los agricultores desarrollen la actividad agrícola que se adapte al equipo</t>
  </si>
  <si>
    <t xml:space="preserve">Porcentaje de avance de etapa  </t>
  </si>
  <si>
    <t>n.a.</t>
  </si>
  <si>
    <t xml:space="preserve"> Asentamiento Campesino La Urraca </t>
  </si>
  <si>
    <t>002299</t>
  </si>
  <si>
    <t>Incrementar la disponibilidad del agua en la margen derecha del río Tempisque, mediante la construcción de obras de infraestructura, como medidas de adaptación al cambio climático para un mejor aprovechamiento del agua, estimulando el desarrollo socioeconómico de la región.</t>
  </si>
  <si>
    <t>Cantones de Liberia, Carrillo, Santa Cruz, Bagaces y Nicoya</t>
  </si>
  <si>
    <t>Proyecto Abastecimiento Cañas - Bebedero</t>
  </si>
  <si>
    <t>AYA</t>
  </si>
  <si>
    <t>Incrementar la capacidad de producción del acueducto de la ciudad de Cañas, mediante la captación y potabilización de agua del embalse de Sandillal, propiedad del ICE.</t>
  </si>
  <si>
    <t>Porcentaje de avance de la obra</t>
  </si>
  <si>
    <t>Gobierno de la República China</t>
  </si>
  <si>
    <t>UEN Programación y Control. Director UEN PyC</t>
  </si>
  <si>
    <t>Cañas y  Bebedero</t>
  </si>
  <si>
    <t>AyA</t>
  </si>
  <si>
    <t>UEN Administración de Proyectos. Director UEN AP</t>
  </si>
  <si>
    <t>Colorado de Abangares.</t>
  </si>
  <si>
    <t>001617</t>
  </si>
  <si>
    <t>Ampliación y mejoramiento del acueducto de Bagaces, Guanacaste</t>
  </si>
  <si>
    <t xml:space="preserve"> Bagaces, Arbolito, El Chile, Montenegro, Falconiana, Agua Caliente. </t>
  </si>
  <si>
    <t>000374</t>
  </si>
  <si>
    <t>Mejoras al acueducto de Liberia Etapa 2</t>
  </si>
  <si>
    <t>Mejorar al Acueducto de Liberia mediante el ordenamiento hidráulico, para abastecer de agua potable el distrito de Liberia</t>
  </si>
  <si>
    <t>AyA/BCIE</t>
  </si>
  <si>
    <t>AyA
Unidad Ejecutora AyA/ BCIE 1725, Director UE</t>
  </si>
  <si>
    <t xml:space="preserve">Liberia </t>
  </si>
  <si>
    <t>000373</t>
  </si>
  <si>
    <t>Mejoras al acueducto de Nicoya Etapa 2</t>
  </si>
  <si>
    <t>Mejorar al Acueducto de Nicoya para abastecer de agua potable el distrito de Nicoya.</t>
  </si>
  <si>
    <t>UE BCIE. Director UE BCIE</t>
  </si>
  <si>
    <t xml:space="preserve">Distrito central de Nicoya. </t>
  </si>
  <si>
    <t>Proyectos en fase de Ejecución</t>
  </si>
  <si>
    <t xml:space="preserve">Linea Base 2018 </t>
  </si>
  <si>
    <t>Avance en Ejecución
(%)</t>
  </si>
  <si>
    <t>% de Avance Ejecución</t>
  </si>
  <si>
    <t>Mejoras al acueducto de Nicoya Etapa 1</t>
  </si>
  <si>
    <t>002203</t>
  </si>
  <si>
    <t>Acueducto El Coco – Ocotal - Sardinal Fase 2</t>
  </si>
  <si>
    <t xml:space="preserve">Acceso el agua de la comunidades por medio de un acueducto integral y sostenible. </t>
  </si>
  <si>
    <t>AyA/Fidecomiso</t>
  </si>
  <si>
    <t>Sardinal, El Coco y Octal y comunidades vecinas</t>
  </si>
  <si>
    <t>002252</t>
  </si>
  <si>
    <t>Acueducto Regional Costero Canton de Santa Cruz (Acueducto de Nimboyores)</t>
  </si>
  <si>
    <t>El proyecto Acueducto de Nimboyores consiste en la explotación de 188,8 l/s del acuífero Nimboyores, para abastecer de agua potable la zona costera de Santa Cruz desde Potrero hasta Tamarindo, cubriendo una población de 50 mil habitantes.</t>
  </si>
  <si>
    <t xml:space="preserve">Santa Cruz, desde Potrero hasta Tamarindo, en la que se incluyen Flamingo, Brasilito, Conchal, Playa Grande, Matapalo, Lorena, Portegolpe, El Llano, Huacas, Villarreal, La Garita, Lajas, Mangos, Paraiso, Lomas, Santa Rosa, Hatillo, Hernández, San Francisco, Los Ranchos, Corona, Trapiche, Río Seco, San José, Las Palmas, Mar Vista , etc. </t>
  </si>
  <si>
    <t>002229</t>
  </si>
  <si>
    <t>Acueducto de Papagayo Sur (Trancas)</t>
  </si>
  <si>
    <t>Aumentar la producción del acueducto del Golfo de Papagayo Sur, donde se verán beneficiadas las poblaciones de Playa Panamá, Playa Hermosa, el pueblo civil de Playa Panamá, con el objetivo de atender las concesiones del ICT.  El aumento será en orden de magnitud de 120 l/s, a partir de un campo de pozos en la zona de Las Trancas.</t>
  </si>
  <si>
    <t>AyA/ICT</t>
  </si>
  <si>
    <t>Playa Panamá, Playa Hermosa, las áreas concesionadas, el pueblo civil de Playa Panamá (de ser necesario, para el crecimiento vegetativo) y zonas aledañas.</t>
  </si>
  <si>
    <t xml:space="preserve">Cantón </t>
  </si>
  <si>
    <t xml:space="preserve">Distrito </t>
  </si>
  <si>
    <t xml:space="preserve">Comunidades </t>
  </si>
  <si>
    <t>Apoyo requerido</t>
  </si>
  <si>
    <t>Fecha de finalización INICIAL
(Mes / Año)</t>
  </si>
  <si>
    <t>Nicoya</t>
  </si>
  <si>
    <t>Carrillo</t>
  </si>
  <si>
    <t>Palmira - Sardinal</t>
  </si>
  <si>
    <t>Santa Cruz</t>
  </si>
  <si>
    <t>Santa Cruz, Veintisiete de Abril, Tempate, Diriá, Cabo Velas, Tamarindo</t>
  </si>
  <si>
    <t>002521</t>
  </si>
  <si>
    <t>Cañas</t>
  </si>
  <si>
    <t>Bagaces</t>
  </si>
  <si>
    <t>Liberia</t>
  </si>
  <si>
    <t>Cañas, Bebedero</t>
  </si>
  <si>
    <t>Abangares</t>
  </si>
  <si>
    <t>Colorado</t>
  </si>
  <si>
    <t>Construcción de obras de infraestructuras que permitan garantizar el suministro de agua para riego en el área de influencia del Proyecto, de tal forma que se logre brindar un servicio oportuno y sostenido a todos los usuarios del sistema del DRAT-Canal del Sur.</t>
  </si>
  <si>
    <t>Sardinal</t>
  </si>
  <si>
    <t>Sistema de abastecimiento de aguaa de la cuenca media del río Tempisque y comunidades costeras (PACCUME)</t>
  </si>
  <si>
    <t>Senara.
Unidad Ejecutora del PAACUME</t>
  </si>
  <si>
    <t>Liberia, Carrillo, Santa Cruz, Bagaces y Nicoya</t>
  </si>
  <si>
    <t>Costo Total del Proyecto
(Millones de colones)</t>
  </si>
  <si>
    <t>002679</t>
  </si>
  <si>
    <t>Rehabilitación del sistema de agua potable de Colorado de Abangares</t>
  </si>
  <si>
    <t>Implementar las obras necesarias para el aumento de la producción y la potabilización del Acueducto de Colorado de Abangares con el fin de mejorar las condiciones de servicio a la población actual y futura al año 2045, dando un servicio de calidad y continuidad 24/7.</t>
  </si>
  <si>
    <t>Mejorar la calidad, cantidad y continuidad del servicio de agua potable de las comunidades de Bagaces, Aguacaliente, Falconiana, Montenegro, Arbolito y El Chile y otras que podrían incorporarse si la producción lo permite.</t>
  </si>
  <si>
    <t>Mejoramiento de Sistema de  Riego para el Asentamiento Campesino Los Jilgueros</t>
  </si>
  <si>
    <t>Contar  en el Asentamiento Los Jilgueros  del INDER con un sistema de riego por goteo de 10 has para el desarrollo intensivo de los cultivos de arroz, maíz para ensilaje, cucurbitáceas (sandía, melón, pipián), pasto de corta, frutales, cultivos hidropónicos entre otras actividades.</t>
  </si>
  <si>
    <t>Nandayure</t>
  </si>
  <si>
    <t xml:space="preserve"> Asentamiento Campesino Los Jilgueros </t>
  </si>
  <si>
    <t>Actualizado vá banco de proyectos AyA el 5 de diciembre 2019</t>
  </si>
  <si>
    <t>Se finalizaron las obras, pendiente de Capitalización y cierre de gestión administrativa</t>
  </si>
  <si>
    <t>Obras incluidas en Plan de Atención de Sequía para Regiones Chorotega y Pacífico Central para ser financiadas con Transferencia Extraordinaria GOCR para el 2019</t>
  </si>
  <si>
    <t>No se requiere apoyo, ya que el proyecto ejecutó las obras en el  año 2019, al momento de la formulación del PND, no contaba con fuente de Financiamiento, sin embargo al cierre del año 2018, finalizada  la formulación del PND, se incluyó en la Fuente Plan de Atención de Sequía para Regiones Chorotega y Pacífico Central para ser financiadas con Transferencia Extraordinaria GOCR para el 2019, lo que permitió actualizar el diseño de obras, ejecutar el proceso de contratación y ejecución.</t>
  </si>
  <si>
    <t xml:space="preserve">No está inscrito, debido a que se ejecutaron las obras en 2019 </t>
  </si>
  <si>
    <t>Transferencia de fondos del INDER al Senara para la ejecución de las obras, con base en los estudios y diseños realizados por el SENARA.
Transferencia GOCR al Senara para gasto operativo</t>
  </si>
  <si>
    <t>Fondos Inder transferidos al Senara para la ejecución de las obras, con base en los estudios y diseños realizados por el SENARA.
Transferencia GOCR al Senara para gasto operativo</t>
  </si>
  <si>
    <t xml:space="preserve"> Transferencia GOCR, al Senara para fase de preinversión.
Fuente BCIE para la fase de ejecución</t>
  </si>
  <si>
    <t>Trasvase Liberia: Aguas de la vertiente norte  (alrededores del volcán Rincón de la Vieja) para uso agropecuario en el sector este y sur de Liberia.</t>
  </si>
  <si>
    <t>Realizar los estudios de preinversión,  gestionar los recursos financieros para contratar para  construir y administrar las obras de infraestructura necesarias para captar y transportar un caudal de 1500  l/s del trasvase de ríos de la cuenca norte (alrededores del volcán Rincón de la Vieja) para  su  aplicación para riego de 1425 hectáreas y el abrevadero de más de 20 000 cabezas de ganado en tres sectores agropecuarios del distrito central del cantón de Liberia.</t>
  </si>
  <si>
    <t>Fuente no indentificada ni aprobada. Se incluyó en decreto de Emergencia por sequía con CNE y en el cuarto trimestre de 2019 se enviará el plan de inversión a la CNE para los estudios topográficos necesarios.</t>
  </si>
  <si>
    <t>Central</t>
  </si>
  <si>
    <t>Canton de Liberia: Rodeíto, Guadalupe, Capulín, Santa Ana, La América, San  Gerónimo, El Golfo, La Caraña, Juanilama, Salto Pijije, La Ilusión, Barrio Sinaí y otros.</t>
  </si>
  <si>
    <t>Proyectos de Gestion</t>
  </si>
  <si>
    <t>Línea base 2018</t>
  </si>
  <si>
    <t xml:space="preserve">Meta del periodo </t>
  </si>
  <si>
    <t>Población Meta (comunidades/distrito/cantón)</t>
  </si>
  <si>
    <t>Mejorando las capacidades de los pobladores de la Península de Nicoya para enfrentar los impactos del cambio climático en el recurso hídrico.</t>
  </si>
  <si>
    <t>CATIE</t>
  </si>
  <si>
    <t>Mejorar la resiliencia y la capacidad adaptativa ante el cambio climático en las comunidades vulnerables al déficit hídrico en los cantones de Nicoya, Hojancha y Nandayure de la Península de Nicoya, mediante la creación y fortalecimiento de capacidades en los actores locales para realizar acciones en el ámbito familiar y productivo que sean más eficiente en el uso del agua, reduzcan los conflictos alrededor de su uso, y prevengan la proliferación de conflictos futuros por el aumento del déficit hídrico.</t>
  </si>
  <si>
    <t xml:space="preserve">Avance en ejecución </t>
  </si>
  <si>
    <t>Fondo de Adaptación al Cambio Climático</t>
  </si>
  <si>
    <t xml:space="preserve">Fundecooperación </t>
  </si>
  <si>
    <t>Enero 2016</t>
  </si>
  <si>
    <t>Setiembre 2020</t>
  </si>
  <si>
    <t>Adaptación al Cambio Climático en los Acuíferos de Nimboyores y de Río Cañas - sistemas de acueductos y alcantarillados en zonas costeras de la provincia de Guanacaste</t>
  </si>
  <si>
    <t>CFIA</t>
  </si>
  <si>
    <t>Priorizar las medidas necesarias para lograr la adaptación ante Cambio Climático en los acuíferos costeros de Nimboyores y del río Cañas en Guanacaste, y en los sistemas de acueducto de las localidades y en proyectos; para asegurar la sostenibilidad en la prestación del servicio de agua potable y alcantarillado sanitario y maximizar los beneficios a las poblaciones en forma sostenida, en el contexto de la gestión integrada de los recursos hídricos.</t>
  </si>
  <si>
    <t>Nicoya, Hojancha, Nadayure</t>
  </si>
  <si>
    <t>Manejo integral del recurso hídrico en la cuenca del río Abangares</t>
  </si>
  <si>
    <t>UCR (CIEDES)</t>
  </si>
  <si>
    <t>Elaborar e implantar un programa para la regulación y el manejo integral y sostenible de los recursos hídricos de la cuenca del río Abangares que permita el desarrollo económico y social del cantón de Abangares, sin comprometer las necesidades ambientales y que a su vez le permita, a al cantón de Abangares, adaptarse a los cambios presentes y futuros en la disponibilidad del recurso, producidos por el impacto del cambio climático.</t>
  </si>
  <si>
    <t>Portegolpe, Cartagena, Tempate, Tamarindo, Flamingo; administradas por AyA. Las comunidades administradas por ASADAS son: Lorena, Playa Grande, Cabo Velas, Huacas, Garita, Lajas y Mangos, Lomas Matapalo, Lomas La josefina, Los Robles, Playa Tamarindo, Villareal, Hernández, Llano (El Chorro) Playa Brasilito, Playa Potrero, Reserva Conchal, Santa Rosa.</t>
  </si>
  <si>
    <t>Implementación de Estrategias de Adaptación a los Efectos del Cambio Climático con la introducción de Tecnologías Amigables con el Ambiente que permitan el uso racional del recurso hídrico y el establecimiento de módulos forrajeros y huertas familiares como Seguridad Alimentaria en Unidades Productivas del cantón de Nicoya.</t>
  </si>
  <si>
    <t>Federación de Cámaras de Ganaderos de Guanacaste (FCGG)</t>
  </si>
  <si>
    <t>Implementar estrategias de adaptación de los efectos del cambio climático mediante la introducción de tecnologías amigables con el ambiente que permitan el uso racional del recurso hídrico y propicien la seguridad alimentaria en las unidades productivas de afiliados de la Federación de Cámara de Ganaderos de Guanacaste, como proyecto piloto para su fomento a nivel de la región.</t>
  </si>
  <si>
    <t>Cuenca del Río Abangares, con los distritos de Las Juntas, Colorado, San Juan y La Sierra, todos parte del cantón de Abangares</t>
  </si>
  <si>
    <t>Implementación de medidas de adaptación del Recurso Hídrico al Cambio Climático en los cantones de Nicoya, Hojancha, Nandayure y La Cruz.</t>
  </si>
  <si>
    <t>IMN -MINAE</t>
  </si>
  <si>
    <t>Fortalecer las capacidades de las poblaciones de los cantones de Nicoya, Hojancha, Nandayure y La Cruz en temas de manejo, protección, abastecimiento y calidad de los recursos hídricos y en la reducción de los daños producidos por eventos climáticos extremos (sequías e inundaciones) como medidas de adaptación al cambio climático.</t>
  </si>
  <si>
    <t>Cantón de Nicoya</t>
  </si>
  <si>
    <t>Fortalecimiento de capacidades y contribución al sector campesino en los cantones de Hojancha, Nicoya y Nandayure para la aplicación de tecnologías de adaptación y mitigación frente al cambio climático.</t>
  </si>
  <si>
    <t>Asociación Agroforestal Chorotega. UNAFOR Chorotega.</t>
  </si>
  <si>
    <t>Contribuir a los esfuerzos para aumentar la resistencia y la capacidad de adaptación del sector agrícola al cambio climático en los cantones de Hojancha, Nicoya y Nandayure a través de asistencia técnica y creación de capacidad de uso sostenible de la tierra y la gestión integrada de los recursos hídricos.</t>
  </si>
  <si>
    <t>Cantones de Nicoya, Hojancha, Nandayure y La Cruz.</t>
  </si>
  <si>
    <t>Uso de la tecnología de fertirriego para el aseguramiento de las fuentes de alimentación de ganado lechero y doble propósito, mediante el abastecimiento de forrajes (gramíneas y leguminosas) y otros alimentos, como medida de adaptación al cambio climático.</t>
  </si>
  <si>
    <t>CNPL - MAG</t>
  </si>
  <si>
    <t>Implementar fincas modelo para mejorar la adaptación al cambio climático en lecherías, por medio del fertirriego de purines como herramienta tecnológica para asegurar la producción de forraje y otros alimentos para el ganado lechero y de doble propósito, ante eventos climáticos extremos.</t>
  </si>
  <si>
    <t>Cantones de Nicoya (Nicoya, Mansión, San Antonio, Quebrada Honda, Sámara, Nosara, Belén de Nosarita), Hojancha (Hojancha, Monte Romo, Huacas y puerto Carrillo) y Nandayure (Carmona, Santa Rita, Zapotal, San Pablo, Por venir y Bejuco).</t>
  </si>
  <si>
    <t>Sistema para la gestión y manejo de incidentes por incendios forestales.</t>
  </si>
  <si>
    <t>SINAC</t>
  </si>
  <si>
    <t>Implementar el sistema de gestión de incidentes para atender de manera eficiente los incendios forestales y reducir el impacto de los mismos en la Región Chorotega.</t>
  </si>
  <si>
    <t>Fortalecimiento de capacidades de las ASADAS para enfrentar riesgos de cambio climático</t>
  </si>
  <si>
    <t>Se trata de un Proyecto con el PNUD y Fondo GEF para el fortalecimiento de las capacidades de las ASADAS para enfrentar riesgos de cambio climático en comunidades con estrés hídrico en el norte de Costa Rica. Incluye acciones relacionadas con la infraestructura y capacidad técnica de las ASADAS, capacitación del personal y de usuarios, información hidrometeorológica, planiificación y gestión del riesgo</t>
  </si>
  <si>
    <t>AyA y GEF/CRUSA</t>
  </si>
  <si>
    <t>Cañas, Liberia, La Cruz, Carrillo, Santa Cruz, Nicoya y Hojancha.</t>
  </si>
  <si>
    <t>Marzo 2016</t>
  </si>
  <si>
    <t>Abril 2021</t>
  </si>
  <si>
    <t>Reducción de agua no contabilizada</t>
  </si>
  <si>
    <t>Proyecto de reducción de agua no contabilizada y eficiencia energética. Macormedicin, micromedicacion, catastro de clientes y de infraestructura. Deteccion y rerparacion de fugas. Gestion de facturacion. Control operacional. Sutituir tuberias, efciencia energetica , estructura organizacional y cultura. Gestion Ambiental.</t>
  </si>
  <si>
    <t xml:space="preserve">BCIE / KFW  </t>
  </si>
  <si>
    <t xml:space="preserve">Liberia, Nicoya </t>
  </si>
  <si>
    <t>Enero 2023</t>
  </si>
  <si>
    <t>30 de junio , 2020</t>
  </si>
  <si>
    <t>Al momento de la formulación del PND y de la definición de esta matriz, se proyectó elaborar el proceso de preinversión a partir del perfil existente, no obstante a finales del año 2018, se logró la obtención de recursos para financiar la ejecución de las obras del proyecto, por medio de transferencia extraordinaria MAG - Senara, para la atención de la sequía en el Pacífico Norte.  Se elaboraron los diseños y los documentos de contratación, lo que permitió iniciar los procesos de contratación, que concluyeron con la adjudicación e inicio de las obras en el mes de setiembre de 2019.  El Proyecto se encuentra con avance en la ejecución de obras.  Información con corte al  31/12/2019.  Se debe ajustar el PND, debido a que se avanzó hacia la ejecución de obras en el 2019.
Al 30 de junio 2020 el proyecto se reporta como finalizada la ejecución de obras, se encuentra en trámite el proceso de finiquito del contrato de obras para su recepción final</t>
  </si>
  <si>
    <t>Al 31 de diciembre se reporta finalizadas las obras del proyecto y cuenta con acta de entrega y recepción definitiva del proyecto, tal y como se reportó en el informe anterior con corte al 15/09/2019.
Este proyecto se finalizó en el año 2019.</t>
  </si>
  <si>
    <t>Se hizo una extesnión por el tema del impacto esperado del COVID-19 en la implementación del proyecto</t>
  </si>
  <si>
    <r>
      <t>AVANCE AL: 31/12/</t>
    </r>
    <r>
      <rPr>
        <b/>
        <sz val="11"/>
        <rFont val="Times New Roman"/>
        <family val="1"/>
      </rPr>
      <t>2020</t>
    </r>
  </si>
  <si>
    <t>Proyecto no tuvo avance debido a restricciones y seguridad del persona por COVID, se reprograma las actividades.</t>
  </si>
  <si>
    <t>Con base en la entrega de Plan de Acción del consultor contratado se define la nueva fecha esperada de finalización del proyecto.
Entrega informe plan de acción Etapa 1.2. Aprobación final del documento. 
Inicio de la elaboración de documentos Etapa 1.3-primer entrega.
Definidos los planes de acción, se rabaja en términos de referencia para contrataciones de ejecución.</t>
  </si>
  <si>
    <t>No se tiene fecha de finalización ya que se excluyó del PND</t>
  </si>
  <si>
    <t>002860</t>
  </si>
  <si>
    <t>El porcentaje de Nicoya I al cierre del IV trimestre es de 100% y el porcentaje de Nicoya II es de 100%, siendo un 100% el proyecto completo. Meta cumplida totalmente. Se finalizaron las obras, pendiente de Capitalización y cierre de gestión administrativa</t>
  </si>
  <si>
    <t xml:space="preserve"> Sala IV desestimó dos Acciones de insconstitucionalidad, se encuentran pendiente una Acción
 en sentido se requiere mucho apoyo para avanzar en  la finalización de la negociación del contrato de préstamo con el BCIE, la aprobación final de MIDEPLAN para el Préstamo, la aprobación del BCCR y de la Autoridad Presupuestaria y la aprobación final de la SETENA al Estudio de Impacto ambiental, con el fin de que se elabore de forma muy ágil el Proyecto de Ley que debe ser enviado a la Asamblea Legislativa para la aprobación del contrato de Préstamo con el BCIE.</t>
  </si>
  <si>
    <t xml:space="preserve">Meta cumplida
Etapa I Construcción del proyecto (74% avance constructivo)
Etapa II: Adquisición de terrenos. Diseño (73% de avance) el cual tiene atraso, y se encuentra en eevisión y aceptación de planos por parte de UE 
Contar con los recursos necesarios para realizar las actividades Programadas: Ing. Hidráulico, estructural, Costos, avalúos
</t>
  </si>
  <si>
    <t>Se finalizaron las obras al 100%, pendiente de Capitalización y cierre de gestión administrativa, está en proceso la coordinación con UNOPS para el proceso de capitalización de Liberia I y II.</t>
  </si>
  <si>
    <t>Proyecto ha finalizado exitosamente.</t>
  </si>
  <si>
    <t>31/06/2021</t>
  </si>
  <si>
    <t xml:space="preserve">Este proyecto fue solicitado de manera oficial y formal su exclusión del PND, en ese sentido al 30 de junio se reportó lo siguiente:
No se tiene avance al 30 de junio, ya que se requiere recursos para la elaboración de estudios topográficos que permitan continuar con la elaboración, a su vez en este periodo se remitió oficio de la Gerencia del Senara en el cual se concede aval y repuesta a la solicitud por correo de la Dirección de Aguas para proceder con el trámite por parte de esa Dirección y Minae ante Mideplan para la  exclusión del Proyecto de  las metas del PND 2019-2022, ante situación de emergencia del COVID-19.  
Al 31 de diciembre 2020 se tiene que se recibió aprobación formal de Mideplan para excluir el proyecto del PND, mediante oficio MIDEPLAN DM--OF-1023-2020 con fecha  11 de setiembre 2020, el cual rige a partir  del 2021.
Al 31 de diciembre de 2020 no se tiene avance 
Según la nota de MIDEPLAN-DM-OF-1203-2020, se aceptó la modificación del PNDIP, eliminado el proyecto Trasvase Liberia. La justificación de la modificación radica en los inconvenientes generados por la emergencia nacional a causa el COVID-19
</t>
  </si>
  <si>
    <t>Al 31 de diciembre 2019 se reporta como finalizado el Diseño del Proyecto y la consecución de la fuente de financiamiento, así como el incio del proceso de contratación.
Al 31 de diciembre de 2019 se alcanza el registro del Proyecto en el Banco de Proyectos de Inversión Pública, se encuentra en revisión por parte del analista de Mideplan, para la asignación y aprobación del código de proyecto en el Banco, acción que corresponde a Mideplan brindar luego del análisis respectivo, por parte del Senara se atendió el registro en el Sistema.
Al 30 de junio 2020 se recibe la aprobación del código de proyectos en el Banco de Proyectos de Mideplan, se asigna el código 002860 Construcción de infraestructura de riego para la agricultura, Finca la Urraca, Liberia, en lo sucesivo se deberá considerar este nombre del Proyecto.  El proyecto se reporta en ejecución, la inversión estimada es de 360 millones de colones con Fuente INDER, no se han finalizado las obras se encuentra en proceso constructivo.
Al 31 de diciembre se alcanza lo siguiente:  el proyecto se dió orden de  inicio de obras el 8 de julio de 2020
y  tiene un avance de 70% de ejecución
• Limitaciones identificadas en el segundo  semestre: Debido al Covid-19, fue necesario dar una suspensión de obra, además las condiciones climáticas en la zona no han permitido un avance más fluido, sobre todo en el mes de noviembre donde tuvimos en la región el impacto indirecto de dos huracanes. Dado que se extendió el plazo al contratista por una modificación de obra se amplía el plazo del proyecto y se proyecta a finalizar en el primer trimestre del 2021.
• Medidas correctivas para lograr cumplir la meta: A pesar de que en el mes de diciembre se trabajó con dos frentes de trabajo, no fue posible reponer el tiempo perdido por las suspensiones de obra
Al 30 de junio 2021 se reporta mediante oficio SENARA-INDEP-RCH-0050-2021  que el proyecto cuenta con un avance porcentual estimado de 80% (10% adicional con respecto al reporte anterior) en la fase de ejecución.  Lo que sumado a la distribución de pesos y porcentajes de cada fase considerada genera un avance acumulado de 95%
Se aclara lo siguiente: "El proyecto ya se encuentra todo instalado, no se ha podido hacer ninguna prueba, debido a que el sistema opera por tres bombas. Al INDER le corresponde gestionar la conexión de la corriente eléctrica y no han resuelto el problema, ni hay fecha clara para que esto",  por lo que se requiere una  gestión por parte del INDER para reportar avance y cierre final.
las actividades realizadas al 30 de junio 2021 son: Instalación de módulos de riego, se encuentran pendientes: Pruebas del sistema, Recepción a contratista, Entrega de proyecto, por la razón antes señalada.</t>
  </si>
  <si>
    <t xml:space="preserve">AVANCE AL: 30/06/2021
</t>
  </si>
  <si>
    <t>AVANCE AL: 30/06/2021</t>
  </si>
  <si>
    <t>Al 31 de diciembre 2019 se mantiene las condiciones descritas en el informe anterior con corte al 15/09/2019.  Al 31 de diciembre el proyecto no presenta cambio de fase, se mantiene en preinversión y se ha estado atendiendo la actualización de información sobre ejecución presupuestaria en el Banco de Proyectos de Inversión.
Al 30 de junio  de 2020 no se tiene respuesta sobre resolución de la Acción de Inconstitucionalidad, la misma se encuentra a esa fecha pendiente de respuesta.
Al 31 de diciembre 2020  se reporta las siguientes acciones,
Se alcanza resolución de la Sala IV sobre las dos acciones de inconstitucionalidad, las cuales se desestimaron,  siendo a favor del proyecto se logra superar esta situación para continuar con el proyecto en las etapas pendientes, siendo el siguente paso fundamental  alcanzar la viabilidad ambiental.
Se reportan como acciones de avance las siguientes: Entrega del borrador de la respuesta de la Resolución de Aclaración 1517-2020-SETENA para el expediente D1-21601-2017 Proyecto Paacume, cuyo contenido trata de la subsanación 31 puntos, planteados, en su mayoría, por el Área de Conservación Arenal-Tempisque, en relación con el Estudio de Impacto Ambiental (EsIA) presentado en diciembre de 2017.
-Entrega de la respuesta de la Resolución de Aclaración N°1289-2020-SETENA para el expediente D1-20602-2017 Proyecto Tajo La Isla, cuyo contenido trata de la subsanación 11 puntos en relación con el Estudio de Impacto Ambiental presentado en enero de 2018.
-Mediante la Resolución N° 0975-2020 del 27 de mayo, la SETENA dio a conocer los Términos de Referencia para la actualización del expediente del Canal Oeste Tramo II. El detalle de los requerimientos administrativos y técnicos de dicha actualización se remitieron al ICE para solicitar una oferta de venta de servicios de consultoría. Actualmente en espera de la oferta.
Continuar con la ejecución de tareas para la revisión del diseño y obtención de planos constructivos definitivos del canal Oeste Tramo II y III desde el punto de vista de revisión de informes, láminas de dibujo, trazo propuesto, automatización, pasos de fauna.
Recopilar capas de sistemas de información geográfica para la identificación de traslapes de infraestructura pública, red vial, elementos ambientales, zonas de inundación, pozos y áreas protegidas
Finalizar proceso licitatorio y de adjudicación, así como dar inicio a la contratación de topografía para levantar dos extremos faltantes de información del Canal Oeste, al inicio del embalse y en su parte final en la zona de Palmira, así como la verificación y control de la Red Geodésica.
Se realizó la solicitud de presupuesto extraordinario mediante oficio SENARA-GG-PACUMME-0024-2020, para la adquisición de terrenos, la cual fue aprobada mediante ACUERDO N°6162, de la Sesión Ordinaria n.°778-2020 del 11 de mayo de 2020. asimismo, aprobado por la STAP y CGR.
-En el 2020, se han realizado 35 reservas presupuestarias uniendo los avalúos del embalse y Canal Oeste tramos II y III.
-Durante el 2020 se adquirieron 376.4 ha en el embalse y 37.6 ha en el canal oeste, para un total adquirido de 414 ha, superando el compromiso adquirido en la meta.
-Se están haciendo las gestiones necesarias para adquirir las propiedades pendientes, incluyendo las comunicaciones a la Gerencia General sobre los recursos necesarios.
 no obstante no se dispone aún de la finalización y obtención  de viabilidad ambiental por eso no se ajusta el porcentaje.
Al 30 de junio 2021 no se tiene cambio en el procentaje de avance total acmulado, conforme a las pesos y fases del instrumento de seguimiento.  Si se reportan avances en la gestión que realiza la Unidad  gestora del PAACUME.  Estas acciones son las siguientes:1- Se realizaron los subsanes finales de los trámites de viabilidad ambiental de PAACUME y Tajo La Isla y se entregaron a la SETENA. 
1- Se elaboraron los planes preliminares para los desembalses de la presa, el rescate y translocación de flora y fauna, el manejo de la biomasa y el Manejo del paisaje en el área de proyecto, Sector Embalse y obras aledañas del PAACUME.
1- Elaboración del modelo en 3D del canal oeste tramo II y III y sus estructuras, mediante el programa AutoCAD Civil 3D.
2- Diseño y modelado de estructuras hidráulicas del canal oeste.
1- Se ejecutó el contrato de topografía LIDAR el cual brindó los insumos esenciales para el inicio de los diseños de la RDMD.  
2- Se ha avanzado en el trazado preliminar de 40 km de canales de la RDMD. 
3- Se cuenta con un contrato de dibujo, del cual se han obtenido los diseños preliminares en 3D de los 40 km de la RDMD. 
1-Se utilizaron todos los recursos económicos disponibles, para adquirir 130.83ha manteniendo la solicitud gerencial de mantener una contingencia de 250 millones de colones para comprar fincas de compensación ambiental.
RDMD: Red de Distribución Margen Derecha.</t>
  </si>
  <si>
    <t>AVANCE AL: 30 junio 2021</t>
  </si>
  <si>
    <t xml:space="preserve">El porcentaje de avance total del proyecto con corte al 30-06-2021 es de un 52%..Este proyecto tiene varios componentes:  pozo 3 -línea de impulsión: obra en proceso de recepción, planta modular:  envió de cartel a la proveeduría y proceso de elaboración del cartel para la planta potabilizadora definitiva.
La contratación 2020FN-000003-0021400001 de la planta modular en el I trimestre se declaró infructuosa y la planta potabilizadora definitiva, la UEN Programación y Control hasta el mes de junio entregó toda la documentación para poder iniciar el proceso de licitación. Ambos hechos afectaron considerablemente el avance programado para esta obra. asi como los atrasos en la adquisición de terrenos 
Se tramitó nuevamente el contrato de planta modular y se está elaborando el cartel de planta potabilizadora definitiva.
El porcentaje de avance se alineo al Plan de Gobernanza </t>
  </si>
  <si>
    <t xml:space="preserve">El porcentaje de avance total del proyecto con corte al 30-06-2021 es de un 90%. II TRIMESTRE 2021 Una vez finalizado el proceso constructivo AyA debe iniciar el proceso de puesta en marcha de la planta, verificación de la calidad, procesos de potabilización y equipamiento de laboratorio, pruebas con el LNA, suministro de reactivos y asignación de plazas operativas. La planta potabilizadora y sus obras cuentan con 2 años de garantía por parte de la empresa china una vez recibida la obra. 	Así mismo, se trabaja en paralelo en actividades como el acabado arquitectónico de la planta, instalación de equipos electromecánicos y eléctricos, equipamiento de mobiliario, automatización, detalles de acabado en infraestructura, por último, está pendiente la desinfección de líneas de tubería de conducción y construcción del By-pass con Bebedero. Se han realizado ciertas mejoras en aspectos de manejo de aguas pluviales y en el acceso hacia la obra de captación con la colaboración de la Municipalidad de Cañas. La fecha de finalización del proceso constructivo se estimada a finales de setiembre 2021.Por parte de AyA, se debe priorizar la contratación de construcción de acometida principal, la cual está a cargo de la Región Chorotega, está contratación sigue el trámite en SICOP y es vital para probar los equipos eléctricos de la planta.
El proyecto no ha concluido debido al retraso en la importación de la estructura flotante de la toma de agua y la instalación en el embalse del ICE.
El porcentaje de avance se alineo al Plan de Gobernanza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</si>
</sst>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0.0%"/>
    <numFmt numFmtId="166" formatCode="&quot;₡&quot;#,##0.00"/>
  </numFmts>
  <fonts count="15" x14ac:knownFonts="1">
    <font>
      <sz val="11"/>
      <color indexed="8"/>
      <name val="Calibri"/>
      <family val="2"/>
    </font>
    <font>
      <sz val="11"/>
      <color indexed="8"/>
      <name val="Calibri"/>
      <family val="2"/>
    </font>
    <font>
      <b/>
      <sz val="14"/>
      <color indexed="8"/>
      <name val="Times New Roman"/>
      <family val="1"/>
    </font>
    <font>
      <sz val="10"/>
      <color indexed="8"/>
      <name val="Times New Roman"/>
      <family val="1"/>
    </font>
    <font>
      <b/>
      <sz val="11"/>
      <color indexed="8"/>
      <name val="Times New Roman"/>
      <family val="1"/>
    </font>
    <font>
      <b/>
      <sz val="11"/>
      <name val="Times New Roman"/>
      <family val="1"/>
    </font>
    <font>
      <b/>
      <sz val="10"/>
      <color indexed="8"/>
      <name val="Times New Roman"/>
      <family val="1"/>
    </font>
    <font>
      <sz val="11"/>
      <color indexed="8"/>
      <name val="Times New Roman"/>
      <family val="1"/>
    </font>
    <font>
      <sz val="11"/>
      <name val="Times New Roman"/>
      <family val="1"/>
    </font>
    <font>
      <sz val="11"/>
      <color rgb="FF000000"/>
      <name val="Times New Roman"/>
      <family val="1"/>
    </font>
    <font>
      <sz val="10"/>
      <name val="Times New Roman"/>
      <family val="1"/>
    </font>
    <font>
      <b/>
      <sz val="14"/>
      <name val="Times New Roman"/>
      <family val="1"/>
    </font>
    <font>
      <sz val="10"/>
      <color rgb="FF000000"/>
      <name val="Times New Roman"/>
      <family val="1"/>
    </font>
    <font>
      <sz val="12"/>
      <name val="Times New Roman"/>
      <family val="1"/>
    </font>
    <font>
      <b/>
      <sz val="10"/>
      <name val="Times New Roman"/>
      <family val="1"/>
    </font>
  </fonts>
  <fills count="18">
    <fill>
      <patternFill patternType="none"/>
    </fill>
    <fill>
      <patternFill patternType="gray125"/>
    </fill>
    <fill>
      <patternFill patternType="solid">
        <fgColor theme="0"/>
        <bgColor indexed="64"/>
      </patternFill>
    </fill>
    <fill>
      <patternFill patternType="solid">
        <fgColor theme="0"/>
        <bgColor indexed="22"/>
      </patternFill>
    </fill>
    <fill>
      <patternFill patternType="solid">
        <fgColor theme="4" tint="0.59999389629810485"/>
        <bgColor indexed="64"/>
      </patternFill>
    </fill>
    <fill>
      <patternFill patternType="solid">
        <fgColor theme="3" tint="0.79998168889431442"/>
        <bgColor indexed="22"/>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A1EBF3"/>
        <bgColor indexed="64"/>
      </patternFill>
    </fill>
    <fill>
      <patternFill patternType="solid">
        <fgColor theme="7" tint="0.59999389629810485"/>
        <bgColor indexed="49"/>
      </patternFill>
    </fill>
    <fill>
      <patternFill patternType="solid">
        <fgColor indexed="9"/>
        <bgColor indexed="26"/>
      </patternFill>
    </fill>
    <fill>
      <patternFill patternType="solid">
        <fgColor rgb="FFEE6E68"/>
        <bgColor indexed="64"/>
      </patternFill>
    </fill>
    <fill>
      <patternFill patternType="solid">
        <fgColor theme="9" tint="0.59999389629810485"/>
        <bgColor indexed="22"/>
      </patternFill>
    </fill>
    <fill>
      <patternFill patternType="solid">
        <fgColor theme="7" tint="0.59999389629810485"/>
        <bgColor indexed="22"/>
      </patternFill>
    </fill>
    <fill>
      <patternFill patternType="solid">
        <fgColor theme="0"/>
        <bgColor indexed="26"/>
      </patternFill>
    </fill>
    <fill>
      <patternFill patternType="solid">
        <fgColor theme="7" tint="0.79998168889431442"/>
        <bgColor indexed="26"/>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82">
    <xf numFmtId="0" fontId="0" fillId="0" borderId="0" xfId="0"/>
    <xf numFmtId="49" fontId="2"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49" fontId="2"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2" fillId="3" borderId="0" xfId="0" applyFont="1" applyFill="1" applyBorder="1" applyAlignment="1" applyProtection="1">
      <alignment vertical="center"/>
    </xf>
    <xf numFmtId="0" fontId="2" fillId="3" borderId="0" xfId="0" applyFont="1" applyFill="1" applyBorder="1" applyAlignment="1" applyProtection="1">
      <alignment vertical="center"/>
      <protection locked="0"/>
    </xf>
    <xf numFmtId="0" fontId="4"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49" fontId="3" fillId="2" borderId="0"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protection locked="0"/>
    </xf>
    <xf numFmtId="0" fontId="0" fillId="2" borderId="0" xfId="0" applyFill="1" applyBorder="1" applyAlignment="1">
      <alignment horizontal="center" vertical="center"/>
    </xf>
    <xf numFmtId="0" fontId="6" fillId="2"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65" fontId="3" fillId="0" borderId="11" xfId="0" applyNumberFormat="1" applyFont="1" applyFill="1" applyBorder="1" applyAlignment="1" applyProtection="1">
      <alignment horizontal="center" vertical="center" wrapText="1"/>
    </xf>
    <xf numFmtId="9" fontId="3" fillId="0" borderId="11" xfId="0" applyNumberFormat="1" applyFont="1" applyFill="1" applyBorder="1" applyAlignment="1" applyProtection="1">
      <alignment horizontal="center" vertical="center" wrapText="1"/>
    </xf>
    <xf numFmtId="4" fontId="3" fillId="0" borderId="11" xfId="0" applyNumberFormat="1" applyFont="1" applyFill="1" applyBorder="1" applyAlignment="1" applyProtection="1">
      <alignment horizontal="center" vertical="center" wrapText="1"/>
    </xf>
    <xf numFmtId="165" fontId="3" fillId="0" borderId="11"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xf>
    <xf numFmtId="165" fontId="3" fillId="0" borderId="11" xfId="1" applyNumberFormat="1" applyFont="1" applyFill="1" applyBorder="1" applyAlignment="1" applyProtection="1">
      <alignment horizontal="center" vertical="center" wrapText="1"/>
    </xf>
    <xf numFmtId="9" fontId="3" fillId="0" borderId="11" xfId="1" applyFont="1" applyFill="1" applyBorder="1" applyAlignment="1" applyProtection="1">
      <alignment horizontal="center" vertical="center" wrapText="1"/>
    </xf>
    <xf numFmtId="4" fontId="3" fillId="0" borderId="11" xfId="1" applyNumberFormat="1" applyFont="1" applyFill="1" applyBorder="1" applyAlignment="1" applyProtection="1">
      <alignment horizontal="center" vertical="center" wrapText="1"/>
    </xf>
    <xf numFmtId="164" fontId="8" fillId="12" borderId="11" xfId="0" applyNumberFormat="1" applyFont="1" applyFill="1" applyBorder="1" applyAlignment="1" applyProtection="1">
      <alignment horizontal="center" vertical="center" wrapText="1"/>
      <protection locked="0"/>
    </xf>
    <xf numFmtId="10" fontId="2" fillId="0" borderId="9" xfId="1"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4" fontId="10" fillId="0" borderId="11" xfId="0" applyNumberFormat="1" applyFont="1" applyFill="1" applyBorder="1" applyAlignment="1" applyProtection="1">
      <alignment vertical="center" wrapText="1"/>
    </xf>
    <xf numFmtId="49" fontId="10" fillId="0" borderId="1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protection locked="0"/>
    </xf>
    <xf numFmtId="0" fontId="10" fillId="12" borderId="1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vertical="center" wrapText="1"/>
    </xf>
    <xf numFmtId="164" fontId="10" fillId="2" borderId="0" xfId="0"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horizontal="center" vertical="center" wrapText="1"/>
      <protection locked="0"/>
    </xf>
    <xf numFmtId="165" fontId="6" fillId="0" borderId="11" xfId="0" applyNumberFormat="1" applyFont="1" applyFill="1" applyBorder="1" applyAlignment="1" applyProtection="1">
      <alignment horizontal="center" vertical="center" wrapText="1"/>
    </xf>
    <xf numFmtId="9" fontId="6" fillId="0" borderId="11" xfId="0" applyNumberFormat="1" applyFont="1" applyFill="1" applyBorder="1" applyAlignment="1" applyProtection="1">
      <alignment horizontal="center" vertical="center" wrapText="1"/>
    </xf>
    <xf numFmtId="4" fontId="6" fillId="0" borderId="11" xfId="0" applyNumberFormat="1" applyFont="1" applyFill="1" applyBorder="1" applyAlignment="1" applyProtection="1">
      <alignment horizontal="center" vertical="center" wrapText="1"/>
    </xf>
    <xf numFmtId="4" fontId="5" fillId="0" borderId="11" xfId="0" applyNumberFormat="1" applyFont="1" applyFill="1" applyBorder="1" applyAlignment="1" applyProtection="1">
      <alignment horizontal="center" vertical="center" wrapText="1"/>
    </xf>
    <xf numFmtId="165" fontId="6" fillId="0" borderId="11" xfId="0" applyNumberFormat="1" applyFont="1" applyFill="1" applyBorder="1" applyAlignment="1" applyProtection="1">
      <alignment horizontal="center" vertical="center" wrapText="1"/>
      <protection locked="0"/>
    </xf>
    <xf numFmtId="9" fontId="6" fillId="0" borderId="11" xfId="1" applyFont="1" applyFill="1" applyBorder="1" applyAlignment="1" applyProtection="1">
      <alignment horizontal="center" vertical="center" wrapText="1"/>
    </xf>
    <xf numFmtId="164" fontId="8" fillId="0" borderId="11" xfId="0" applyNumberFormat="1" applyFont="1" applyFill="1" applyBorder="1" applyAlignment="1" applyProtection="1">
      <alignment horizontal="center" vertical="center" wrapText="1"/>
      <protection locked="0"/>
    </xf>
    <xf numFmtId="4" fontId="10" fillId="0" borderId="11" xfId="0" applyNumberFormat="1" applyFont="1" applyFill="1" applyBorder="1" applyAlignment="1" applyProtection="1">
      <alignment horizontal="center" vertical="center" wrapText="1"/>
    </xf>
    <xf numFmtId="9" fontId="3" fillId="0" borderId="11" xfId="0" applyNumberFormat="1"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xf>
    <xf numFmtId="9" fontId="7" fillId="0" borderId="11" xfId="1" applyFont="1" applyFill="1" applyBorder="1" applyAlignment="1" applyProtection="1">
      <alignment horizontal="center" vertical="center" wrapText="1"/>
    </xf>
    <xf numFmtId="9" fontId="4" fillId="0" borderId="11" xfId="0" applyNumberFormat="1" applyFont="1" applyFill="1" applyBorder="1" applyAlignment="1" applyProtection="1">
      <alignment horizontal="center" vertical="center" wrapText="1"/>
    </xf>
    <xf numFmtId="9" fontId="7" fillId="0" borderId="11" xfId="0" applyNumberFormat="1" applyFont="1" applyFill="1" applyBorder="1" applyAlignment="1" applyProtection="1">
      <alignment horizontal="center" vertical="center" wrapText="1"/>
    </xf>
    <xf numFmtId="4" fontId="7" fillId="0" borderId="11"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9" fontId="7" fillId="0" borderId="11" xfId="1" applyFont="1" applyFill="1" applyBorder="1" applyAlignment="1" applyProtection="1">
      <alignment horizontal="center" vertical="center" wrapText="1"/>
      <protection locked="0"/>
    </xf>
    <xf numFmtId="9" fontId="4" fillId="0" borderId="11" xfId="0" applyNumberFormat="1" applyFont="1" applyFill="1" applyBorder="1" applyAlignment="1" applyProtection="1">
      <alignment horizontal="center" vertical="center" wrapText="1"/>
      <protection locked="0"/>
    </xf>
    <xf numFmtId="49" fontId="7" fillId="0" borderId="11"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165" fontId="3" fillId="0" borderId="10" xfId="0" applyNumberFormat="1" applyFont="1" applyFill="1" applyBorder="1" applyAlignment="1" applyProtection="1">
      <alignment horizontal="center" vertical="center" wrapText="1"/>
    </xf>
    <xf numFmtId="9" fontId="3" fillId="0" borderId="10" xfId="0" applyNumberFormat="1" applyFont="1" applyFill="1" applyBorder="1" applyAlignment="1" applyProtection="1">
      <alignment horizontal="center" vertical="center" wrapText="1"/>
    </xf>
    <xf numFmtId="4" fontId="3" fillId="0" borderId="10" xfId="0" applyNumberFormat="1" applyFont="1" applyFill="1" applyBorder="1" applyAlignment="1" applyProtection="1">
      <alignment horizontal="center" vertical="center" wrapText="1"/>
    </xf>
    <xf numFmtId="4" fontId="3" fillId="2" borderId="11" xfId="0" applyNumberFormat="1" applyFont="1" applyFill="1" applyBorder="1" applyAlignment="1" applyProtection="1">
      <alignment horizontal="center" vertical="center" wrapText="1"/>
    </xf>
    <xf numFmtId="164" fontId="8" fillId="12" borderId="10" xfId="0" applyNumberFormat="1"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xf>
    <xf numFmtId="0" fontId="7" fillId="9" borderId="5"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4" fillId="8" borderId="5" xfId="0" applyFont="1" applyFill="1" applyBorder="1" applyAlignment="1" applyProtection="1">
      <alignment horizontal="center" vertical="center" wrapText="1"/>
    </xf>
    <xf numFmtId="0" fontId="4" fillId="9" borderId="5"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xf>
    <xf numFmtId="165" fontId="6" fillId="0" borderId="10" xfId="0" applyNumberFormat="1" applyFont="1" applyFill="1" applyBorder="1" applyAlignment="1" applyProtection="1">
      <alignment horizontal="center" vertical="center" wrapText="1"/>
    </xf>
    <xf numFmtId="9" fontId="6" fillId="0" borderId="10" xfId="0" applyNumberFormat="1" applyFont="1" applyFill="1" applyBorder="1" applyAlignment="1" applyProtection="1">
      <alignment horizontal="center" vertical="center" wrapText="1"/>
    </xf>
    <xf numFmtId="4" fontId="6" fillId="0" borderId="10" xfId="0" applyNumberFormat="1" applyFont="1" applyFill="1" applyBorder="1" applyAlignment="1" applyProtection="1">
      <alignment horizontal="center" vertical="center" wrapText="1"/>
    </xf>
    <xf numFmtId="4" fontId="8" fillId="0" borderId="10" xfId="0" applyNumberFormat="1" applyFont="1" applyFill="1" applyBorder="1" applyAlignment="1" applyProtection="1">
      <alignment horizontal="center" vertical="center" wrapText="1"/>
    </xf>
    <xf numFmtId="0" fontId="3" fillId="12" borderId="10" xfId="0" applyFont="1" applyFill="1" applyBorder="1" applyAlignment="1" applyProtection="1">
      <alignment horizontal="center" vertical="center" wrapText="1"/>
    </xf>
    <xf numFmtId="9" fontId="3" fillId="0" borderId="10" xfId="1" applyFont="1" applyFill="1" applyBorder="1" applyAlignment="1" applyProtection="1">
      <alignment horizontal="center" vertical="center" wrapText="1"/>
    </xf>
    <xf numFmtId="4" fontId="10" fillId="0" borderId="10" xfId="0" applyNumberFormat="1" applyFont="1" applyFill="1" applyBorder="1" applyAlignment="1" applyProtection="1">
      <alignment vertical="center" wrapText="1"/>
    </xf>
    <xf numFmtId="4" fontId="10" fillId="0" borderId="10" xfId="0" applyNumberFormat="1" applyFont="1" applyFill="1" applyBorder="1" applyAlignment="1" applyProtection="1">
      <alignment horizontal="center" vertical="center" wrapText="1"/>
    </xf>
    <xf numFmtId="0" fontId="10" fillId="0" borderId="10" xfId="0" applyFont="1" applyFill="1" applyBorder="1" applyAlignment="1" applyProtection="1">
      <alignment vertical="center" wrapText="1"/>
    </xf>
    <xf numFmtId="164" fontId="8" fillId="0" borderId="10" xfId="0" applyNumberFormat="1" applyFont="1" applyFill="1" applyBorder="1" applyAlignment="1" applyProtection="1">
      <alignment horizontal="center" vertical="center" wrapText="1"/>
      <protection locked="0"/>
    </xf>
    <xf numFmtId="0" fontId="4" fillId="7" borderId="17" xfId="0" applyFont="1" applyFill="1" applyBorder="1" applyAlignment="1" applyProtection="1">
      <alignment horizontal="center" vertical="center" wrapText="1"/>
      <protection locked="0"/>
    </xf>
    <xf numFmtId="9" fontId="3" fillId="0" borderId="11" xfId="1" applyNumberFormat="1" applyFont="1" applyFill="1" applyBorder="1" applyAlignment="1" applyProtection="1">
      <alignment horizontal="center" vertical="center" wrapText="1"/>
    </xf>
    <xf numFmtId="17" fontId="3" fillId="0" borderId="11" xfId="0" applyNumberFormat="1" applyFont="1" applyFill="1" applyBorder="1" applyAlignment="1" applyProtection="1">
      <alignment horizontal="center" vertical="center" wrapText="1"/>
      <protection locked="0"/>
    </xf>
    <xf numFmtId="10" fontId="3" fillId="0" borderId="11" xfId="1"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4" fontId="8" fillId="0" borderId="11" xfId="0" applyNumberFormat="1" applyFont="1" applyFill="1" applyBorder="1" applyAlignment="1" applyProtection="1">
      <alignment horizontal="center" vertical="center" wrapText="1"/>
    </xf>
    <xf numFmtId="0" fontId="10" fillId="0" borderId="11" xfId="0" applyFont="1" applyFill="1" applyBorder="1" applyAlignment="1" applyProtection="1">
      <alignment horizontal="justify" vertical="top" wrapText="1"/>
      <protection locked="0"/>
    </xf>
    <xf numFmtId="166" fontId="3" fillId="0" borderId="11"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4" fillId="9" borderId="5" xfId="0" applyFont="1" applyFill="1" applyBorder="1" applyAlignment="1" applyProtection="1">
      <alignment horizontal="center" vertical="center" wrapText="1"/>
    </xf>
    <xf numFmtId="0" fontId="7" fillId="0" borderId="10" xfId="0" applyFont="1" applyBorder="1" applyAlignment="1" applyProtection="1">
      <alignment horizontal="center" vertical="center" wrapText="1"/>
    </xf>
    <xf numFmtId="49" fontId="7" fillId="0" borderId="10" xfId="0" applyNumberFormat="1" applyFont="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9" fillId="0" borderId="10" xfId="0" applyFont="1" applyBorder="1" applyAlignment="1" applyProtection="1">
      <alignment horizontal="center" vertical="center" wrapText="1"/>
    </xf>
    <xf numFmtId="9" fontId="7" fillId="0" borderId="10" xfId="1" applyFont="1" applyFill="1" applyBorder="1" applyAlignment="1" applyProtection="1">
      <alignment horizontal="center" vertical="center" wrapText="1"/>
    </xf>
    <xf numFmtId="9" fontId="4" fillId="0" borderId="10" xfId="0" applyNumberFormat="1" applyFont="1" applyFill="1" applyBorder="1" applyAlignment="1" applyProtection="1">
      <alignment horizontal="center" vertical="center" wrapText="1"/>
    </xf>
    <xf numFmtId="9" fontId="7" fillId="0" borderId="10" xfId="0" applyNumberFormat="1" applyFont="1" applyFill="1" applyBorder="1" applyAlignment="1" applyProtection="1">
      <alignment horizontal="center" vertical="center" wrapText="1"/>
    </xf>
    <xf numFmtId="4" fontId="7" fillId="0" borderId="10" xfId="0" applyNumberFormat="1" applyFont="1" applyFill="1" applyBorder="1" applyAlignment="1" applyProtection="1">
      <alignment horizontal="center" vertical="center" wrapText="1"/>
    </xf>
    <xf numFmtId="4" fontId="5" fillId="0" borderId="10" xfId="0" applyNumberFormat="1"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164" fontId="3" fillId="2" borderId="0" xfId="0" applyNumberFormat="1" applyFont="1" applyFill="1" applyBorder="1" applyAlignment="1" applyProtection="1">
      <alignment horizontal="center" vertical="center" wrapText="1"/>
    </xf>
    <xf numFmtId="0" fontId="4" fillId="7" borderId="16" xfId="0" applyFont="1" applyFill="1" applyBorder="1" applyAlignment="1" applyProtection="1">
      <alignment horizontal="center" vertical="center" wrapText="1"/>
      <protection locked="0"/>
    </xf>
    <xf numFmtId="0" fontId="7" fillId="8" borderId="28" xfId="0" applyFont="1" applyFill="1" applyBorder="1" applyAlignment="1" applyProtection="1">
      <alignment horizontal="center" vertical="center" wrapText="1"/>
    </xf>
    <xf numFmtId="0" fontId="7" fillId="8" borderId="32" xfId="0" applyFont="1" applyFill="1" applyBorder="1" applyAlignment="1" applyProtection="1">
      <alignment horizontal="center" vertical="center" wrapText="1"/>
    </xf>
    <xf numFmtId="0" fontId="7" fillId="8" borderId="33" xfId="0" applyFont="1" applyFill="1" applyBorder="1" applyAlignment="1" applyProtection="1">
      <alignment horizontal="center" vertical="center" wrapText="1"/>
    </xf>
    <xf numFmtId="0" fontId="4" fillId="8" borderId="30" xfId="0" applyFont="1" applyFill="1" applyBorder="1" applyAlignment="1" applyProtection="1">
      <alignment horizontal="center" vertical="center" wrapText="1"/>
    </xf>
    <xf numFmtId="0" fontId="7" fillId="9" borderId="28" xfId="0" applyFont="1" applyFill="1" applyBorder="1" applyAlignment="1" applyProtection="1">
      <alignment horizontal="center" vertical="center" wrapText="1"/>
    </xf>
    <xf numFmtId="0" fontId="3" fillId="9" borderId="32" xfId="0" applyFont="1" applyFill="1" applyBorder="1" applyAlignment="1" applyProtection="1">
      <alignment horizontal="center" vertical="center" wrapText="1"/>
    </xf>
    <xf numFmtId="0" fontId="7" fillId="9" borderId="32" xfId="0" applyFont="1" applyFill="1" applyBorder="1" applyAlignment="1" applyProtection="1">
      <alignment horizontal="center" vertical="center" wrapText="1"/>
    </xf>
    <xf numFmtId="0" fontId="7" fillId="9" borderId="33" xfId="0" applyFont="1" applyFill="1" applyBorder="1" applyAlignment="1" applyProtection="1">
      <alignment horizontal="center" vertical="center" wrapText="1"/>
    </xf>
    <xf numFmtId="0" fontId="4" fillId="9" borderId="30" xfId="0" applyFont="1" applyFill="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12" borderId="38"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9" fontId="3" fillId="0" borderId="37" xfId="0" applyNumberFormat="1" applyFont="1" applyFill="1" applyBorder="1" applyAlignment="1" applyProtection="1">
      <alignment horizontal="center" vertical="center" wrapText="1"/>
    </xf>
    <xf numFmtId="9" fontId="3" fillId="0" borderId="36" xfId="1" applyFont="1" applyFill="1" applyBorder="1" applyAlignment="1" applyProtection="1">
      <alignment horizontal="center" vertical="center" wrapText="1"/>
    </xf>
    <xf numFmtId="9" fontId="3" fillId="0" borderId="39" xfId="0" applyNumberFormat="1" applyFont="1" applyFill="1" applyBorder="1" applyAlignment="1" applyProtection="1">
      <alignment horizontal="center" vertical="center" wrapText="1"/>
    </xf>
    <xf numFmtId="9" fontId="3" fillId="0" borderId="39" xfId="1" applyFont="1" applyFill="1" applyBorder="1" applyAlignment="1" applyProtection="1">
      <alignment horizontal="center" vertical="center" wrapText="1"/>
    </xf>
    <xf numFmtId="4" fontId="3" fillId="0" borderId="36" xfId="0" applyNumberFormat="1" applyFont="1" applyFill="1" applyBorder="1" applyAlignment="1" applyProtection="1">
      <alignment horizontal="center" vertical="center" wrapText="1"/>
    </xf>
    <xf numFmtId="4" fontId="12" fillId="0" borderId="39" xfId="0" applyNumberFormat="1" applyFont="1" applyBorder="1" applyAlignment="1" applyProtection="1">
      <alignment horizontal="center" vertical="center"/>
    </xf>
    <xf numFmtId="4" fontId="3" fillId="0" borderId="39" xfId="0" applyNumberFormat="1" applyFont="1" applyFill="1" applyBorder="1" applyAlignment="1" applyProtection="1">
      <alignment horizontal="center" vertical="center" wrapText="1"/>
    </xf>
    <xf numFmtId="4" fontId="3" fillId="0" borderId="37" xfId="0" applyNumberFormat="1"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49" fontId="10" fillId="0" borderId="39" xfId="0" applyNumberFormat="1"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12" borderId="15"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9" fontId="3" fillId="0" borderId="12" xfId="0" applyNumberFormat="1" applyFont="1" applyFill="1" applyBorder="1" applyAlignment="1" applyProtection="1">
      <alignment horizontal="center" vertical="center" wrapText="1"/>
    </xf>
    <xf numFmtId="9" fontId="3" fillId="0" borderId="13" xfId="1" applyFont="1" applyFill="1" applyBorder="1" applyAlignment="1" applyProtection="1">
      <alignment horizontal="center" vertical="center" wrapText="1"/>
    </xf>
    <xf numFmtId="4" fontId="3" fillId="0" borderId="13" xfId="0" applyNumberFormat="1" applyFont="1" applyFill="1" applyBorder="1" applyAlignment="1" applyProtection="1">
      <alignment horizontal="center" vertical="center" wrapText="1"/>
    </xf>
    <xf numFmtId="4" fontId="12" fillId="0" borderId="11" xfId="0" applyNumberFormat="1" applyFont="1" applyBorder="1" applyAlignment="1" applyProtection="1">
      <alignment horizontal="center" vertical="center"/>
    </xf>
    <xf numFmtId="4" fontId="3" fillId="0" borderId="12" xfId="0" applyNumberFormat="1"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9" fontId="3" fillId="0" borderId="12" xfId="1" applyFont="1" applyFill="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10" fillId="12" borderId="4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9" fontId="3" fillId="0" borderId="6" xfId="1" applyFont="1" applyFill="1" applyBorder="1" applyAlignment="1" applyProtection="1">
      <alignment horizontal="center" vertical="center" wrapText="1"/>
    </xf>
    <xf numFmtId="9" fontId="3" fillId="0" borderId="4" xfId="1" applyFont="1" applyFill="1" applyBorder="1" applyAlignment="1" applyProtection="1">
      <alignment horizontal="center" vertical="center" wrapText="1"/>
    </xf>
    <xf numFmtId="9" fontId="3" fillId="0" borderId="5" xfId="1" applyFont="1" applyFill="1" applyBorder="1" applyAlignment="1" applyProtection="1">
      <alignment horizontal="center" vertical="center" wrapText="1"/>
    </xf>
    <xf numFmtId="9" fontId="3" fillId="0" borderId="5" xfId="0" applyNumberFormat="1" applyFont="1" applyFill="1" applyBorder="1" applyAlignment="1" applyProtection="1">
      <alignment horizontal="center" vertical="center" wrapText="1"/>
    </xf>
    <xf numFmtId="9" fontId="3" fillId="0" borderId="6"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5" xfId="0" applyNumberFormat="1" applyFont="1" applyFill="1" applyBorder="1" applyAlignment="1" applyProtection="1">
      <alignment horizontal="center" vertical="center" wrapText="1"/>
    </xf>
    <xf numFmtId="4" fontId="3" fillId="0" borderId="6" xfId="0" applyNumberFormat="1" applyFont="1" applyFill="1" applyBorder="1" applyAlignment="1" applyProtection="1">
      <alignment horizontal="center" vertical="center" wrapText="1"/>
    </xf>
    <xf numFmtId="0" fontId="3" fillId="0" borderId="42"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0" fontId="10" fillId="16"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top" wrapText="1"/>
      <protection locked="0"/>
    </xf>
    <xf numFmtId="0" fontId="4" fillId="7" borderId="44" xfId="0" applyFont="1" applyFill="1" applyBorder="1" applyAlignment="1" applyProtection="1">
      <alignment horizontal="center" vertical="center" wrapText="1"/>
      <protection locked="0"/>
    </xf>
    <xf numFmtId="14" fontId="10" fillId="0" borderId="11" xfId="0" applyNumberFormat="1" applyFont="1" applyFill="1" applyBorder="1" applyAlignment="1" applyProtection="1">
      <alignment horizontal="center" vertical="center" wrapText="1"/>
      <protection locked="0"/>
    </xf>
    <xf numFmtId="9" fontId="7" fillId="0" borderId="10" xfId="1" applyNumberFormat="1" applyFont="1" applyFill="1" applyBorder="1" applyAlignment="1" applyProtection="1">
      <alignment horizontal="center" vertical="center" wrapText="1"/>
      <protection locked="0"/>
    </xf>
    <xf numFmtId="9" fontId="7" fillId="0" borderId="10" xfId="1" applyFont="1" applyFill="1" applyBorder="1" applyAlignment="1" applyProtection="1">
      <alignment horizontal="center" vertical="center" wrapText="1"/>
      <protection locked="0"/>
    </xf>
    <xf numFmtId="9" fontId="4" fillId="0" borderId="10" xfId="0" applyNumberFormat="1"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horizontal="center" vertical="center" wrapText="1"/>
      <protection locked="0"/>
    </xf>
    <xf numFmtId="165" fontId="10" fillId="0" borderId="10" xfId="0" applyNumberFormat="1" applyFont="1" applyFill="1" applyBorder="1" applyAlignment="1" applyProtection="1">
      <alignment horizontal="center" vertical="center" wrapText="1"/>
      <protection locked="0"/>
    </xf>
    <xf numFmtId="165" fontId="6" fillId="0" borderId="10" xfId="0" applyNumberFormat="1" applyFont="1" applyFill="1" applyBorder="1" applyAlignment="1" applyProtection="1">
      <alignment horizontal="center" vertical="center" wrapText="1"/>
      <protection locked="0"/>
    </xf>
    <xf numFmtId="165" fontId="3" fillId="0" borderId="11" xfId="1" applyNumberFormat="1" applyFont="1" applyFill="1" applyBorder="1" applyAlignment="1" applyProtection="1">
      <alignment horizontal="center" vertical="center" wrapText="1"/>
      <protection locked="0"/>
    </xf>
    <xf numFmtId="165" fontId="10" fillId="0" borderId="11" xfId="1" applyNumberFormat="1" applyFont="1" applyFill="1" applyBorder="1" applyAlignment="1" applyProtection="1">
      <alignment horizontal="center" vertical="center" wrapText="1"/>
      <protection locked="0"/>
    </xf>
    <xf numFmtId="165" fontId="10" fillId="0" borderId="11" xfId="0" applyNumberFormat="1"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17" fontId="3" fillId="0" borderId="10" xfId="0" applyNumberFormat="1" applyFont="1" applyFill="1" applyBorder="1" applyAlignment="1" applyProtection="1">
      <alignment horizontal="center" vertical="center" wrapText="1"/>
      <protection locked="0"/>
    </xf>
    <xf numFmtId="9" fontId="10" fillId="0" borderId="10" xfId="1" applyFont="1" applyFill="1" applyBorder="1" applyAlignment="1" applyProtection="1">
      <alignment horizontal="center" vertical="center" wrapText="1"/>
      <protection locked="0"/>
    </xf>
    <xf numFmtId="9" fontId="3" fillId="0" borderId="13" xfId="0" applyNumberFormat="1"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165" fontId="3" fillId="0" borderId="40" xfId="1" applyNumberFormat="1" applyFont="1" applyFill="1" applyBorder="1" applyAlignment="1" applyProtection="1">
      <alignment horizontal="center" vertical="center" wrapText="1"/>
      <protection locked="0"/>
    </xf>
    <xf numFmtId="0" fontId="10" fillId="12" borderId="36" xfId="0" applyFont="1" applyFill="1" applyBorder="1" applyAlignment="1" applyProtection="1">
      <alignment horizontal="center" vertical="center" wrapText="1"/>
    </xf>
    <xf numFmtId="49" fontId="10" fillId="0" borderId="37" xfId="0" applyNumberFormat="1" applyFont="1" applyFill="1" applyBorder="1" applyAlignment="1" applyProtection="1">
      <alignment horizontal="center" vertical="center" wrapText="1"/>
    </xf>
    <xf numFmtId="0" fontId="10" fillId="12" borderId="13" xfId="0" applyFont="1" applyFill="1" applyBorder="1" applyAlignment="1" applyProtection="1">
      <alignment horizontal="center" vertical="center" wrapText="1"/>
    </xf>
    <xf numFmtId="49" fontId="10" fillId="0" borderId="12" xfId="0" applyNumberFormat="1"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protection locked="0"/>
    </xf>
    <xf numFmtId="14" fontId="3" fillId="0" borderId="5" xfId="0" applyNumberFormat="1"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4" fontId="3" fillId="2" borderId="0"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4" fillId="7" borderId="17" xfId="0" applyFont="1" applyFill="1" applyBorder="1" applyAlignment="1" applyProtection="1">
      <alignment horizontal="center" vertical="center" wrapText="1"/>
    </xf>
    <xf numFmtId="0" fontId="4" fillId="9" borderId="5" xfId="0" applyFont="1" applyFill="1" applyBorder="1" applyAlignment="1" applyProtection="1">
      <alignment horizontal="center" vertical="center" wrapText="1"/>
    </xf>
    <xf numFmtId="0" fontId="13" fillId="0" borderId="10" xfId="0" applyFont="1" applyFill="1" applyBorder="1" applyAlignment="1" applyProtection="1">
      <alignment horizontal="justify" vertical="top" wrapText="1"/>
      <protection locked="0"/>
    </xf>
    <xf numFmtId="164" fontId="8" fillId="17" borderId="11"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165" fontId="3" fillId="0" borderId="11" xfId="0" applyNumberFormat="1" applyFont="1" applyBorder="1" applyAlignment="1" applyProtection="1">
      <alignment horizontal="center" vertical="center" wrapText="1"/>
      <protection locked="0"/>
    </xf>
    <xf numFmtId="165" fontId="6" fillId="0" borderId="10" xfId="0" applyNumberFormat="1" applyFont="1" applyBorder="1" applyAlignment="1" applyProtection="1">
      <alignment horizontal="center" vertical="center" wrapText="1"/>
      <protection locked="0"/>
    </xf>
    <xf numFmtId="0" fontId="3" fillId="0" borderId="12" xfId="0" applyFont="1" applyBorder="1" applyAlignment="1" applyProtection="1">
      <alignment horizontal="left" vertical="center" wrapText="1"/>
      <protection locked="0"/>
    </xf>
    <xf numFmtId="10" fontId="3" fillId="2" borderId="0" xfId="0" applyNumberFormat="1"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4" fontId="10" fillId="0" borderId="10" xfId="0" applyNumberFormat="1" applyFont="1" applyFill="1" applyBorder="1" applyAlignment="1" applyProtection="1">
      <alignment horizontal="center" vertical="center" wrapText="1"/>
      <protection locked="0"/>
    </xf>
    <xf numFmtId="165" fontId="14" fillId="0" borderId="10" xfId="0" applyNumberFormat="1" applyFont="1" applyBorder="1" applyAlignment="1" applyProtection="1">
      <alignment horizontal="center" vertical="center" wrapText="1"/>
      <protection locked="0"/>
    </xf>
    <xf numFmtId="9" fontId="10" fillId="0" borderId="13" xfId="0" applyNumberFormat="1" applyFont="1" applyFill="1" applyBorder="1" applyAlignment="1" applyProtection="1">
      <alignment horizontal="center" vertical="center" wrapText="1"/>
      <protection locked="0"/>
    </xf>
    <xf numFmtId="9" fontId="10" fillId="0" borderId="4" xfId="0" applyNumberFormat="1" applyFont="1" applyFill="1" applyBorder="1" applyAlignment="1" applyProtection="1">
      <alignment horizontal="center" vertical="center" wrapText="1"/>
      <protection locked="0"/>
    </xf>
    <xf numFmtId="0" fontId="4" fillId="13" borderId="17" xfId="0" applyFont="1" applyFill="1" applyBorder="1" applyAlignment="1" applyProtection="1">
      <alignment horizontal="center" vertical="center" wrapText="1"/>
    </xf>
    <xf numFmtId="0" fontId="4" fillId="13" borderId="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2" fillId="4" borderId="20"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49" fontId="4" fillId="5" borderId="17" xfId="0" applyNumberFormat="1" applyFont="1" applyFill="1" applyBorder="1" applyAlignment="1" applyProtection="1">
      <alignment horizontal="center" vertical="center" wrapText="1"/>
    </xf>
    <xf numFmtId="49" fontId="4" fillId="5" borderId="5" xfId="0" applyNumberFormat="1"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6" borderId="17" xfId="0"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4" fillId="7" borderId="17" xfId="0"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0" fontId="4" fillId="8" borderId="17" xfId="0" applyFont="1" applyFill="1" applyBorder="1" applyAlignment="1" applyProtection="1">
      <alignment horizontal="center" vertical="center" wrapText="1"/>
    </xf>
    <xf numFmtId="0" fontId="4" fillId="9" borderId="17" xfId="0" applyFont="1" applyFill="1" applyBorder="1" applyAlignment="1" applyProtection="1">
      <alignment horizontal="center" vertical="center" wrapText="1"/>
    </xf>
    <xf numFmtId="0" fontId="4" fillId="9" borderId="5" xfId="0" applyFont="1" applyFill="1" applyBorder="1" applyAlignment="1" applyProtection="1">
      <alignment horizontal="center" vertical="center" wrapText="1"/>
    </xf>
    <xf numFmtId="0" fontId="4" fillId="10" borderId="17" xfId="0" applyFont="1" applyFill="1" applyBorder="1" applyAlignment="1" applyProtection="1">
      <alignment horizontal="center" vertical="center" wrapText="1"/>
    </xf>
    <xf numFmtId="0" fontId="4" fillId="10" borderId="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164" fontId="4" fillId="11" borderId="17" xfId="0" applyNumberFormat="1" applyFont="1" applyFill="1" applyBorder="1" applyAlignment="1" applyProtection="1">
      <alignment horizontal="center" vertical="center" wrapText="1"/>
      <protection locked="0"/>
    </xf>
    <xf numFmtId="164" fontId="4" fillId="11" borderId="5" xfId="0" applyNumberFormat="1" applyFont="1" applyFill="1" applyBorder="1" applyAlignment="1" applyProtection="1">
      <alignment horizontal="center" vertical="center" wrapText="1"/>
      <protection locked="0"/>
    </xf>
    <xf numFmtId="0" fontId="5" fillId="7" borderId="17" xfId="0" applyFont="1" applyFill="1" applyBorder="1" applyAlignment="1" applyProtection="1">
      <alignment horizontal="center" vertical="center" wrapText="1"/>
      <protection locked="0"/>
    </xf>
    <xf numFmtId="164" fontId="5" fillId="11" borderId="17" xfId="0" applyNumberFormat="1" applyFont="1" applyFill="1" applyBorder="1" applyAlignment="1" applyProtection="1">
      <alignment horizontal="center" vertical="center" wrapText="1"/>
      <protection locked="0"/>
    </xf>
    <xf numFmtId="164" fontId="5" fillId="11" borderId="5"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xf>
    <xf numFmtId="0" fontId="4" fillId="15" borderId="16" xfId="0" applyFont="1" applyFill="1" applyBorder="1" applyAlignment="1" applyProtection="1">
      <alignment horizontal="center" vertical="center" wrapText="1"/>
    </xf>
    <xf numFmtId="0" fontId="4" fillId="15" borderId="28" xfId="0" applyFont="1" applyFill="1" applyBorder="1" applyAlignment="1" applyProtection="1">
      <alignment horizontal="center" vertical="center" wrapText="1"/>
    </xf>
    <xf numFmtId="164" fontId="4" fillId="11" borderId="17" xfId="0" applyNumberFormat="1" applyFont="1" applyFill="1" applyBorder="1" applyAlignment="1" applyProtection="1">
      <alignment horizontal="center" vertical="center" wrapText="1"/>
    </xf>
    <xf numFmtId="164" fontId="4" fillId="11" borderId="32" xfId="0" applyNumberFormat="1" applyFont="1" applyFill="1" applyBorder="1" applyAlignment="1" applyProtection="1">
      <alignment horizontal="center" vertical="center" wrapText="1"/>
    </xf>
    <xf numFmtId="164" fontId="4" fillId="11" borderId="18" xfId="0" applyNumberFormat="1" applyFont="1" applyFill="1" applyBorder="1" applyAlignment="1" applyProtection="1">
      <alignment horizontal="center" vertical="center" wrapText="1"/>
    </xf>
    <xf numFmtId="164" fontId="4" fillId="11" borderId="29" xfId="0" applyNumberFormat="1" applyFont="1" applyFill="1" applyBorder="1" applyAlignment="1" applyProtection="1">
      <alignment horizontal="center" vertical="center" wrapText="1"/>
    </xf>
    <xf numFmtId="164" fontId="4" fillId="11" borderId="45" xfId="0" applyNumberFormat="1" applyFont="1" applyFill="1" applyBorder="1" applyAlignment="1" applyProtection="1">
      <alignment horizontal="center" vertical="center" wrapText="1"/>
      <protection locked="0"/>
    </xf>
    <xf numFmtId="0" fontId="2" fillId="4" borderId="47" xfId="0" applyFont="1" applyFill="1" applyBorder="1" applyAlignment="1" applyProtection="1">
      <alignment horizontal="center" vertical="center" wrapText="1"/>
      <protection locked="0"/>
    </xf>
    <xf numFmtId="0" fontId="2" fillId="4" borderId="48" xfId="0" applyFont="1" applyFill="1" applyBorder="1" applyAlignment="1" applyProtection="1">
      <alignment horizontal="center" vertical="center" wrapText="1"/>
      <protection locked="0"/>
    </xf>
    <xf numFmtId="0" fontId="2" fillId="4" borderId="49" xfId="0" applyFont="1" applyFill="1" applyBorder="1" applyAlignment="1" applyProtection="1">
      <alignment horizontal="center" vertical="center" wrapText="1"/>
      <protection locked="0"/>
    </xf>
    <xf numFmtId="0" fontId="4" fillId="7" borderId="22"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4" fillId="8" borderId="23" xfId="0" applyFont="1" applyFill="1" applyBorder="1" applyAlignment="1" applyProtection="1">
      <alignment horizontal="center" vertical="center" wrapText="1"/>
    </xf>
    <xf numFmtId="0" fontId="4" fillId="8" borderId="24" xfId="0" applyFont="1" applyFill="1" applyBorder="1" applyAlignment="1" applyProtection="1">
      <alignment horizontal="center" vertical="center" wrapText="1"/>
    </xf>
    <xf numFmtId="0" fontId="4" fillId="8" borderId="25" xfId="0" applyFont="1" applyFill="1" applyBorder="1" applyAlignment="1" applyProtection="1">
      <alignment horizontal="center" vertical="center" wrapText="1"/>
    </xf>
    <xf numFmtId="0" fontId="4" fillId="9" borderId="16" xfId="0" applyFont="1" applyFill="1" applyBorder="1" applyAlignment="1" applyProtection="1">
      <alignment horizontal="center" vertical="center" wrapText="1"/>
    </xf>
    <xf numFmtId="0" fontId="4" fillId="9" borderId="18"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7" borderId="21" xfId="0" applyFont="1" applyFill="1" applyBorder="1" applyAlignment="1" applyProtection="1">
      <alignment horizontal="center" vertical="center" wrapText="1"/>
    </xf>
    <xf numFmtId="0" fontId="4" fillId="7" borderId="30" xfId="0" applyFont="1" applyFill="1" applyBorder="1" applyAlignment="1" applyProtection="1">
      <alignment horizontal="center" vertical="center" wrapText="1"/>
    </xf>
    <xf numFmtId="0" fontId="4" fillId="10" borderId="21" xfId="0" applyFont="1" applyFill="1" applyBorder="1" applyAlignment="1" applyProtection="1">
      <alignment horizontal="center" vertical="center" wrapText="1"/>
    </xf>
    <xf numFmtId="0" fontId="4" fillId="10" borderId="30" xfId="0" applyFont="1" applyFill="1" applyBorder="1" applyAlignment="1" applyProtection="1">
      <alignment horizontal="center" vertical="center" wrapText="1"/>
    </xf>
    <xf numFmtId="0" fontId="4" fillId="14" borderId="1" xfId="0" applyFont="1" applyFill="1" applyBorder="1" applyAlignment="1" applyProtection="1">
      <alignment horizontal="center" vertical="center" wrapText="1"/>
    </xf>
    <xf numFmtId="0" fontId="4" fillId="14" borderId="27" xfId="0" applyFont="1" applyFill="1" applyBorder="1" applyAlignment="1" applyProtection="1">
      <alignment horizontal="center" vertical="center" wrapText="1"/>
    </xf>
    <xf numFmtId="0" fontId="4" fillId="5" borderId="28"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6" borderId="21" xfId="0" applyFont="1" applyFill="1" applyBorder="1" applyAlignment="1" applyProtection="1">
      <alignment horizontal="center" vertical="center" wrapText="1"/>
    </xf>
    <xf numFmtId="0" fontId="4" fillId="6" borderId="30" xfId="0" applyFont="1" applyFill="1" applyBorder="1" applyAlignment="1" applyProtection="1">
      <alignment horizontal="center" vertical="center" wrapText="1"/>
    </xf>
    <xf numFmtId="0" fontId="4" fillId="7" borderId="16" xfId="0"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165" fontId="14" fillId="0" borderId="10" xfId="0" applyNumberFormat="1" applyFont="1" applyFill="1" applyBorder="1" applyAlignment="1" applyProtection="1">
      <alignment horizontal="center" vertical="center" wrapText="1"/>
      <protection locked="0"/>
    </xf>
  </cellXfs>
  <cellStyles count="2">
    <cellStyle name="Normal" xfId="0" builtinId="0"/>
    <cellStyle name="Porcentaje" xfId="1" builtinId="5"/>
  </cellStyles>
  <dxfs count="0"/>
  <tableStyles count="0" defaultTableStyle="TableStyleMedium2" defaultPivotStyle="PivotStyleLight16"/>
  <colors>
    <mruColors>
      <color rgb="FFE73229"/>
      <color rgb="FFEE6E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617220</xdr:colOff>
      <xdr:row>4</xdr:row>
      <xdr:rowOff>0</xdr:rowOff>
    </xdr:from>
    <xdr:to>
      <xdr:col>3</xdr:col>
      <xdr:colOff>640080</xdr:colOff>
      <xdr:row>16</xdr:row>
      <xdr:rowOff>91440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7222" t="33064" r="38773" b="35312"/>
        <a:stretch>
          <a:fillRect/>
        </a:stretch>
      </xdr:blipFill>
      <xdr:spPr bwMode="auto">
        <a:xfrm>
          <a:off x="617220" y="736600"/>
          <a:ext cx="2442210" cy="2301240"/>
        </a:xfrm>
        <a:prstGeom prst="rect">
          <a:avLst/>
        </a:prstGeom>
        <a:noFill/>
        <a:ln>
          <a:noFill/>
        </a:ln>
      </xdr:spPr>
    </xdr:pic>
    <xdr:clientData/>
  </xdr:twoCellAnchor>
  <xdr:twoCellAnchor>
    <xdr:from>
      <xdr:col>4</xdr:col>
      <xdr:colOff>335280</xdr:colOff>
      <xdr:row>1</xdr:row>
      <xdr:rowOff>91440</xdr:rowOff>
    </xdr:from>
    <xdr:to>
      <xdr:col>12</xdr:col>
      <xdr:colOff>754380</xdr:colOff>
      <xdr:row>21</xdr:row>
      <xdr:rowOff>30480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3561080" y="275590"/>
          <a:ext cx="6870700" cy="362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R" sz="2000"/>
            <a:t>PROGRAMA INTEGRAL DE ABASTECIMIENTO DE</a:t>
          </a:r>
          <a:r>
            <a:rPr lang="es-CR" sz="2000" baseline="0"/>
            <a:t> AGUA PARA GUANACASTE - PACÍFICO NORTE</a:t>
          </a:r>
        </a:p>
        <a:p>
          <a:pPr algn="ctr"/>
          <a:r>
            <a:rPr lang="es-CR" sz="2000" baseline="0"/>
            <a:t>(PIAAG)</a:t>
          </a:r>
        </a:p>
        <a:p>
          <a:pPr algn="ctr"/>
          <a:endParaRPr lang="es-CR" sz="2000" baseline="0"/>
        </a:p>
        <a:p>
          <a:pPr algn="ctr"/>
          <a:r>
            <a:rPr lang="es-CR" sz="2000" b="1" baseline="0"/>
            <a:t>MATRIZ DE SEGUIMIENTO DE AVANCE DE PROYECTOS INCLUIDOS EN EL PIAAG</a:t>
          </a:r>
        </a:p>
        <a:p>
          <a:pPr algn="ctr"/>
          <a:endParaRPr lang="es-CR" sz="2000" baseline="0"/>
        </a:p>
        <a:p>
          <a:pPr algn="ctr"/>
          <a:r>
            <a:rPr lang="es-CR" sz="2000" baseline="0"/>
            <a:t>SEGÚN </a:t>
          </a:r>
        </a:p>
        <a:p>
          <a:pPr algn="ctr"/>
          <a:endParaRPr lang="es-CR" sz="2000" baseline="0"/>
        </a:p>
        <a:p>
          <a:pPr algn="ctr"/>
          <a:r>
            <a:rPr lang="es-CR" sz="2000" b="0" i="0"/>
            <a:t>Plan Nacional de Desarrollo y de Inversión Pública del Bicentenario 2019 - 2022</a:t>
          </a:r>
          <a:r>
            <a:rPr lang="es-CR" sz="2000" b="0" i="0" baseline="0"/>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4296875" defaultRowHeight="14.5" x14ac:dyDescent="0.35"/>
  <cols>
    <col min="1" max="16384" width="11.54296875" style="13"/>
  </cols>
  <sheetData/>
  <sheetProtection algorithmName="SHA-512" hashValue="I1f92kKw2D9H3dMM9vc3AUKDQWRZ/JtQRkc+2e+O4dPQ/CGvjoF9fVBhCXv2p03gykiyEyPbpuQLR+3YAVc6QQ==" saltValue="HF+cRhIHdVq89fe/9TdQv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
  <sheetViews>
    <sheetView zoomScale="30" zoomScaleNormal="30" workbookViewId="0">
      <pane xSplit="4" ySplit="4" topLeftCell="AB5" activePane="bottomRight" state="frozen"/>
      <selection pane="topRight" activeCell="E1" sqref="E1"/>
      <selection pane="bottomLeft" activeCell="A5" sqref="A5"/>
      <selection pane="bottomRight" activeCell="AE4" sqref="AE4"/>
    </sheetView>
  </sheetViews>
  <sheetFormatPr baseColWidth="10" defaultColWidth="11.453125" defaultRowHeight="13" x14ac:dyDescent="0.35"/>
  <cols>
    <col min="1" max="1" width="4.1796875" style="2" customWidth="1"/>
    <col min="2" max="2" width="14.453125" style="11" bestFit="1" customWidth="1"/>
    <col min="3" max="3" width="32.1796875" style="2" customWidth="1"/>
    <col min="4" max="4" width="18" style="2" customWidth="1"/>
    <col min="5" max="5" width="42.81640625" style="2" customWidth="1"/>
    <col min="6" max="6" width="18.453125" style="2" customWidth="1"/>
    <col min="7" max="7" width="8.453125" style="2" customWidth="1"/>
    <col min="8" max="8" width="13.1796875" style="2" bestFit="1" customWidth="1"/>
    <col min="9" max="9" width="11.453125" style="2"/>
    <col min="10" max="10" width="19.81640625" style="2" customWidth="1"/>
    <col min="11" max="11" width="11.453125" style="2"/>
    <col min="12" max="12" width="16.54296875" style="2" customWidth="1"/>
    <col min="13" max="16" width="7.54296875" style="2" customWidth="1"/>
    <col min="17" max="17" width="13.1796875" style="2" customWidth="1"/>
    <col min="18" max="21" width="7.54296875" style="2" customWidth="1"/>
    <col min="22" max="22" width="14.1796875" style="2" customWidth="1"/>
    <col min="23" max="23" width="22.54296875" style="2" bestFit="1" customWidth="1"/>
    <col min="24" max="24" width="16" style="2" customWidth="1"/>
    <col min="25" max="27" width="22.81640625" style="2" customWidth="1"/>
    <col min="28" max="28" width="27.1796875" style="2" customWidth="1"/>
    <col min="29" max="29" width="19.1796875" style="12" customWidth="1"/>
    <col min="30" max="30" width="21.81640625" style="12" customWidth="1"/>
    <col min="31" max="31" width="11.453125" style="94"/>
    <col min="32" max="32" width="13.1796875" style="94" bestFit="1" customWidth="1"/>
    <col min="33" max="33" width="11.453125" style="94"/>
    <col min="34" max="34" width="18.453125" style="94" customWidth="1"/>
    <col min="35" max="35" width="11.453125" style="94"/>
    <col min="36" max="36" width="16.54296875" style="94" customWidth="1"/>
    <col min="37" max="37" width="24.54296875" style="94" customWidth="1"/>
    <col min="38" max="38" width="74.1796875" style="94" customWidth="1"/>
    <col min="39" max="39" width="66.1796875" style="94" customWidth="1"/>
    <col min="40" max="16384" width="11.453125" style="94"/>
  </cols>
  <sheetData>
    <row r="1" spans="1:39" ht="45.65" customHeight="1" x14ac:dyDescent="0.35">
      <c r="A1" s="1"/>
      <c r="B1" s="1"/>
      <c r="C1" s="211" t="s">
        <v>0</v>
      </c>
      <c r="D1" s="211"/>
      <c r="E1" s="1"/>
      <c r="F1" s="1"/>
      <c r="AB1" s="1"/>
      <c r="AC1" s="3"/>
      <c r="AD1" s="3"/>
      <c r="AE1" s="212"/>
      <c r="AF1" s="212"/>
      <c r="AG1" s="212"/>
      <c r="AH1" s="212"/>
      <c r="AI1" s="212"/>
      <c r="AJ1" s="212"/>
    </row>
    <row r="2" spans="1:39" ht="18" customHeight="1" thickBot="1" x14ac:dyDescent="0.4">
      <c r="A2" s="5"/>
      <c r="B2" s="6"/>
      <c r="C2" s="211"/>
      <c r="D2" s="211"/>
      <c r="E2" s="6"/>
      <c r="F2" s="6"/>
      <c r="G2" s="6"/>
      <c r="H2" s="6"/>
      <c r="I2" s="6"/>
      <c r="J2" s="6"/>
      <c r="K2" s="6"/>
      <c r="L2" s="6"/>
      <c r="M2" s="6"/>
      <c r="N2" s="6"/>
      <c r="O2" s="6"/>
      <c r="P2" s="6"/>
      <c r="Q2" s="6"/>
      <c r="R2" s="6"/>
      <c r="S2" s="6"/>
      <c r="T2" s="6"/>
      <c r="U2" s="6"/>
      <c r="V2" s="6"/>
      <c r="W2" s="6"/>
      <c r="X2" s="6"/>
      <c r="Y2" s="6"/>
      <c r="Z2" s="6"/>
      <c r="AA2" s="6"/>
      <c r="AB2" s="6"/>
      <c r="AC2" s="7"/>
      <c r="AD2" s="7"/>
      <c r="AE2" s="213" t="s">
        <v>1</v>
      </c>
      <c r="AF2" s="214"/>
      <c r="AG2" s="214"/>
      <c r="AH2" s="214"/>
      <c r="AI2" s="214"/>
      <c r="AJ2" s="214"/>
      <c r="AK2" s="214"/>
      <c r="AL2" s="214"/>
      <c r="AM2" s="214"/>
    </row>
    <row r="3" spans="1:39" s="8" customFormat="1" ht="37.75" customHeight="1" x14ac:dyDescent="0.35">
      <c r="A3" s="215" t="s">
        <v>2</v>
      </c>
      <c r="B3" s="217" t="s">
        <v>3</v>
      </c>
      <c r="C3" s="219" t="s">
        <v>4</v>
      </c>
      <c r="D3" s="219" t="s">
        <v>5</v>
      </c>
      <c r="E3" s="221" t="s">
        <v>6</v>
      </c>
      <c r="F3" s="223" t="s">
        <v>7</v>
      </c>
      <c r="G3" s="223" t="s">
        <v>8</v>
      </c>
      <c r="H3" s="223"/>
      <c r="I3" s="223"/>
      <c r="J3" s="223"/>
      <c r="K3" s="223"/>
      <c r="L3" s="223"/>
      <c r="M3" s="225" t="s">
        <v>9</v>
      </c>
      <c r="N3" s="225"/>
      <c r="O3" s="225"/>
      <c r="P3" s="225"/>
      <c r="Q3" s="225"/>
      <c r="R3" s="226" t="s">
        <v>10</v>
      </c>
      <c r="S3" s="226"/>
      <c r="T3" s="226"/>
      <c r="U3" s="226"/>
      <c r="V3" s="226"/>
      <c r="W3" s="209" t="s">
        <v>115</v>
      </c>
      <c r="X3" s="226" t="s">
        <v>11</v>
      </c>
      <c r="Y3" s="228" t="s">
        <v>12</v>
      </c>
      <c r="Z3" s="209" t="s">
        <v>93</v>
      </c>
      <c r="AA3" s="209" t="s">
        <v>94</v>
      </c>
      <c r="AB3" s="209" t="s">
        <v>95</v>
      </c>
      <c r="AC3" s="236" t="s">
        <v>13</v>
      </c>
      <c r="AD3" s="236" t="s">
        <v>97</v>
      </c>
      <c r="AE3" s="238" t="s">
        <v>205</v>
      </c>
      <c r="AF3" s="238"/>
      <c r="AG3" s="238"/>
      <c r="AH3" s="238"/>
      <c r="AI3" s="238"/>
      <c r="AJ3" s="238"/>
      <c r="AK3" s="236" t="s">
        <v>15</v>
      </c>
      <c r="AL3" s="230" t="s">
        <v>16</v>
      </c>
      <c r="AM3" s="232" t="s">
        <v>96</v>
      </c>
    </row>
    <row r="4" spans="1:39" s="9" customFormat="1" ht="40.4" customHeight="1" thickBot="1" x14ac:dyDescent="0.4">
      <c r="A4" s="216"/>
      <c r="B4" s="218"/>
      <c r="C4" s="220"/>
      <c r="D4" s="220"/>
      <c r="E4" s="222"/>
      <c r="F4" s="224"/>
      <c r="G4" s="67" t="s">
        <v>17</v>
      </c>
      <c r="H4" s="67" t="s">
        <v>18</v>
      </c>
      <c r="I4" s="67" t="s">
        <v>19</v>
      </c>
      <c r="J4" s="67" t="s">
        <v>20</v>
      </c>
      <c r="K4" s="67" t="s">
        <v>21</v>
      </c>
      <c r="L4" s="70" t="s">
        <v>22</v>
      </c>
      <c r="M4" s="71">
        <v>2019</v>
      </c>
      <c r="N4" s="71">
        <v>2020</v>
      </c>
      <c r="O4" s="71">
        <v>2021</v>
      </c>
      <c r="P4" s="71">
        <v>2022</v>
      </c>
      <c r="Q4" s="72" t="s">
        <v>23</v>
      </c>
      <c r="R4" s="68">
        <v>2019</v>
      </c>
      <c r="S4" s="68">
        <v>2020</v>
      </c>
      <c r="T4" s="68">
        <v>2021</v>
      </c>
      <c r="U4" s="68">
        <v>2022</v>
      </c>
      <c r="V4" s="95" t="s">
        <v>23</v>
      </c>
      <c r="W4" s="210"/>
      <c r="X4" s="227"/>
      <c r="Y4" s="229"/>
      <c r="Z4" s="210"/>
      <c r="AA4" s="210"/>
      <c r="AB4" s="210"/>
      <c r="AC4" s="237"/>
      <c r="AD4" s="237"/>
      <c r="AE4" s="69" t="s">
        <v>17</v>
      </c>
      <c r="AF4" s="69" t="s">
        <v>18</v>
      </c>
      <c r="AG4" s="69" t="s">
        <v>19</v>
      </c>
      <c r="AH4" s="69" t="s">
        <v>20</v>
      </c>
      <c r="AI4" s="69" t="s">
        <v>21</v>
      </c>
      <c r="AJ4" s="74" t="s">
        <v>24</v>
      </c>
      <c r="AK4" s="237"/>
      <c r="AL4" s="231"/>
      <c r="AM4" s="233"/>
    </row>
    <row r="5" spans="1:39" s="10" customFormat="1" ht="276.75" customHeight="1" x14ac:dyDescent="0.35">
      <c r="A5" s="96">
        <v>1</v>
      </c>
      <c r="B5" s="97" t="s">
        <v>25</v>
      </c>
      <c r="C5" s="98" t="s">
        <v>132</v>
      </c>
      <c r="D5" s="98" t="s">
        <v>26</v>
      </c>
      <c r="E5" s="98" t="s">
        <v>133</v>
      </c>
      <c r="F5" s="99" t="s">
        <v>27</v>
      </c>
      <c r="G5" s="100">
        <v>0</v>
      </c>
      <c r="H5" s="100">
        <v>0</v>
      </c>
      <c r="I5" s="100">
        <v>0</v>
      </c>
      <c r="J5" s="100">
        <v>0</v>
      </c>
      <c r="K5" s="100">
        <v>0</v>
      </c>
      <c r="L5" s="101">
        <f>SUM(G5:K5)</f>
        <v>0</v>
      </c>
      <c r="M5" s="102">
        <v>0.15</v>
      </c>
      <c r="N5" s="100">
        <v>0.55000000000000004</v>
      </c>
      <c r="O5" s="100">
        <v>0.85</v>
      </c>
      <c r="P5" s="100">
        <v>1</v>
      </c>
      <c r="Q5" s="101">
        <f>P5</f>
        <v>1</v>
      </c>
      <c r="R5" s="103">
        <v>125</v>
      </c>
      <c r="S5" s="103">
        <v>125</v>
      </c>
      <c r="T5" s="103">
        <v>125</v>
      </c>
      <c r="U5" s="103">
        <v>125</v>
      </c>
      <c r="V5" s="104">
        <f>SUM(R5:U5)</f>
        <v>500</v>
      </c>
      <c r="W5" s="104"/>
      <c r="X5" s="105" t="s">
        <v>134</v>
      </c>
      <c r="Y5" s="105" t="s">
        <v>28</v>
      </c>
      <c r="Z5" s="105" t="s">
        <v>106</v>
      </c>
      <c r="AA5" s="105" t="s">
        <v>135</v>
      </c>
      <c r="AB5" s="98" t="s">
        <v>136</v>
      </c>
      <c r="AC5" s="66">
        <v>43466</v>
      </c>
      <c r="AD5" s="66">
        <v>44896</v>
      </c>
      <c r="AE5" s="167">
        <v>0</v>
      </c>
      <c r="AF5" s="168">
        <v>0</v>
      </c>
      <c r="AG5" s="168">
        <v>0</v>
      </c>
      <c r="AH5" s="168">
        <v>0</v>
      </c>
      <c r="AI5" s="168">
        <v>0</v>
      </c>
      <c r="AJ5" s="169">
        <f>SUM(AE5:AI5)</f>
        <v>0</v>
      </c>
      <c r="AK5" s="38" t="s">
        <v>194</v>
      </c>
      <c r="AL5" s="38" t="s">
        <v>202</v>
      </c>
      <c r="AM5" s="38"/>
    </row>
    <row r="6" spans="1:39" s="10" customFormat="1" ht="331.5" customHeight="1" x14ac:dyDescent="0.35">
      <c r="A6" s="56">
        <v>2</v>
      </c>
      <c r="B6" s="59" t="s">
        <v>25</v>
      </c>
      <c r="C6" s="56" t="s">
        <v>29</v>
      </c>
      <c r="D6" s="56" t="s">
        <v>26</v>
      </c>
      <c r="E6" s="56" t="s">
        <v>110</v>
      </c>
      <c r="F6" s="51" t="s">
        <v>27</v>
      </c>
      <c r="G6" s="52">
        <v>0.05</v>
      </c>
      <c r="H6" s="52">
        <v>0</v>
      </c>
      <c r="I6" s="52">
        <v>0</v>
      </c>
      <c r="J6" s="52">
        <v>0</v>
      </c>
      <c r="K6" s="52">
        <v>0</v>
      </c>
      <c r="L6" s="53">
        <f>SUM(G6:K6)</f>
        <v>0.05</v>
      </c>
      <c r="M6" s="54">
        <v>0.15</v>
      </c>
      <c r="N6" s="52">
        <v>0.55000000000000004</v>
      </c>
      <c r="O6" s="52">
        <v>0.85</v>
      </c>
      <c r="P6" s="52">
        <v>1</v>
      </c>
      <c r="Q6" s="53">
        <f>P6</f>
        <v>1</v>
      </c>
      <c r="R6" s="55">
        <v>87.5</v>
      </c>
      <c r="S6" s="55">
        <v>87.5</v>
      </c>
      <c r="T6" s="55">
        <v>87.5</v>
      </c>
      <c r="U6" s="55">
        <v>87.5</v>
      </c>
      <c r="V6" s="45">
        <f>SUM(R6:U6)</f>
        <v>350</v>
      </c>
      <c r="W6" s="45">
        <v>350</v>
      </c>
      <c r="X6" s="56" t="s">
        <v>126</v>
      </c>
      <c r="Y6" s="56" t="s">
        <v>30</v>
      </c>
      <c r="Z6" s="56" t="s">
        <v>104</v>
      </c>
      <c r="AA6" s="56" t="s">
        <v>104</v>
      </c>
      <c r="AB6" s="56" t="s">
        <v>31</v>
      </c>
      <c r="AC6" s="29">
        <v>43374</v>
      </c>
      <c r="AD6" s="29">
        <v>43800</v>
      </c>
      <c r="AE6" s="57">
        <v>0.05</v>
      </c>
      <c r="AF6" s="57">
        <v>0.1</v>
      </c>
      <c r="AG6" s="57">
        <v>0.4</v>
      </c>
      <c r="AH6" s="57">
        <v>0.3</v>
      </c>
      <c r="AI6" s="57">
        <v>0.15</v>
      </c>
      <c r="AJ6" s="58">
        <f>SUM(AE6:AI6)</f>
        <v>1</v>
      </c>
      <c r="AK6" s="37" t="s">
        <v>187</v>
      </c>
      <c r="AL6" s="164" t="s">
        <v>188</v>
      </c>
      <c r="AM6" s="37" t="s">
        <v>127</v>
      </c>
    </row>
    <row r="7" spans="1:39" ht="32.5" customHeight="1" thickBot="1" x14ac:dyDescent="0.4">
      <c r="AH7" s="234" t="s">
        <v>32</v>
      </c>
      <c r="AI7" s="235"/>
      <c r="AJ7" s="30">
        <f>+AJ6</f>
        <v>1</v>
      </c>
    </row>
  </sheetData>
  <protectedRanges>
    <protectedRange algorithmName="SHA-512" hashValue="Gcufek3HNtYk8hZIcBxNaydca4LmRN+LajZm9vqFHA29VMq6Jq9k4TTsjS3Yz1KKgdW90YqwAPguVtPRlDVf6g==" saltValue="OLodEqH9HHcF4WnsKnbDyg==" spinCount="100000" sqref="AC6:AM6" name="Reporte Avance_1_1"/>
    <protectedRange algorithmName="SHA-512" hashValue="Gcufek3HNtYk8hZIcBxNaydca4LmRN+LajZm9vqFHA29VMq6Jq9k4TTsjS3Yz1KKgdW90YqwAPguVtPRlDVf6g==" saltValue="OLodEqH9HHcF4WnsKnbDyg==" spinCount="100000" sqref="AC5:AJ5" name="Reporte Avance_1_1_1"/>
    <protectedRange algorithmName="SHA-512" hashValue="Gcufek3HNtYk8hZIcBxNaydca4LmRN+LajZm9vqFHA29VMq6Jq9k4TTsjS3Yz1KKgdW90YqwAPguVtPRlDVf6g==" saltValue="OLodEqH9HHcF4WnsKnbDyg==" spinCount="100000" sqref="AK5:AM5" name="Reporte Avance_1_1_1_2"/>
  </protectedRanges>
  <mergeCells count="25">
    <mergeCell ref="AL3:AL4"/>
    <mergeCell ref="AM3:AM4"/>
    <mergeCell ref="AH7:AI7"/>
    <mergeCell ref="AA3:AA4"/>
    <mergeCell ref="AB3:AB4"/>
    <mergeCell ref="AC3:AC4"/>
    <mergeCell ref="AD3:AD4"/>
    <mergeCell ref="AE3:AJ3"/>
    <mergeCell ref="AK3:AK4"/>
    <mergeCell ref="Z3:Z4"/>
    <mergeCell ref="C1:D2"/>
    <mergeCell ref="AE1:AJ1"/>
    <mergeCell ref="AE2:AM2"/>
    <mergeCell ref="A3:A4"/>
    <mergeCell ref="B3:B4"/>
    <mergeCell ref="C3:C4"/>
    <mergeCell ref="D3:D4"/>
    <mergeCell ref="E3:E4"/>
    <mergeCell ref="F3:F4"/>
    <mergeCell ref="G3:L3"/>
    <mergeCell ref="M3:Q3"/>
    <mergeCell ref="R3:V3"/>
    <mergeCell ref="W3:W4"/>
    <mergeCell ref="X3:X4"/>
    <mergeCell ref="Y3:Y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tabSelected="1" zoomScale="50" zoomScaleNormal="50" workbookViewId="0">
      <pane xSplit="4" ySplit="4" topLeftCell="AF5" activePane="bottomRight" state="frozen"/>
      <selection pane="topRight" activeCell="E1" sqref="E1"/>
      <selection pane="bottomLeft" activeCell="A5" sqref="A5"/>
      <selection pane="bottomRight" activeCell="AN8" sqref="AN8"/>
    </sheetView>
  </sheetViews>
  <sheetFormatPr baseColWidth="10" defaultColWidth="11.453125" defaultRowHeight="13" x14ac:dyDescent="0.35"/>
  <cols>
    <col min="1" max="1" width="5.1796875" style="2" customWidth="1"/>
    <col min="2" max="2" width="18.453125" style="11" customWidth="1"/>
    <col min="3" max="3" width="30.81640625" style="2" customWidth="1"/>
    <col min="4" max="4" width="18" style="2" customWidth="1"/>
    <col min="5" max="5" width="39.81640625" style="2" customWidth="1"/>
    <col min="6" max="6" width="26.81640625" style="2" customWidth="1"/>
    <col min="7" max="7" width="11.453125" style="2"/>
    <col min="8" max="8" width="13.1796875" style="2" bestFit="1" customWidth="1"/>
    <col min="9" max="11" width="11.453125" style="2"/>
    <col min="12" max="12" width="14.1796875" style="2" customWidth="1"/>
    <col min="13" max="13" width="13.1796875" style="2" customWidth="1"/>
    <col min="14" max="14" width="19.54296875" style="14" customWidth="1"/>
    <col min="15" max="18" width="7.81640625" style="2" customWidth="1"/>
    <col min="19" max="19" width="17.54296875" style="14" customWidth="1"/>
    <col min="20" max="20" width="9.81640625" style="14" customWidth="1"/>
    <col min="21" max="21" width="12" style="14" customWidth="1"/>
    <col min="22" max="22" width="9.81640625" style="2" bestFit="1" customWidth="1"/>
    <col min="23" max="23" width="10.54296875" style="2" bestFit="1" customWidth="1"/>
    <col min="24" max="24" width="16.81640625" style="14" bestFit="1" customWidth="1"/>
    <col min="25" max="25" width="27.54296875" style="2" customWidth="1"/>
    <col min="26" max="26" width="22.81640625" style="14" bestFit="1" customWidth="1"/>
    <col min="27" max="29" width="22.81640625" style="2" customWidth="1"/>
    <col min="30" max="30" width="27.1796875" style="2" customWidth="1"/>
    <col min="31" max="31" width="30.81640625" style="40" customWidth="1"/>
    <col min="32" max="32" width="28.1796875" style="40" customWidth="1"/>
    <col min="33" max="33" width="11.453125" style="4"/>
    <col min="34" max="34" width="13.1796875" style="4" bestFit="1" customWidth="1"/>
    <col min="35" max="35" width="11.453125" style="4"/>
    <col min="36" max="36" width="18.453125" style="4" customWidth="1"/>
    <col min="37" max="37" width="11.453125" style="4"/>
    <col min="38" max="38" width="17.1796875" style="4" customWidth="1"/>
    <col min="39" max="39" width="11.453125" style="4"/>
    <col min="40" max="40" width="16.54296875" style="31" customWidth="1"/>
    <col min="41" max="41" width="24.81640625" style="32" customWidth="1"/>
    <col min="42" max="42" width="135.90625" style="32" customWidth="1"/>
    <col min="43" max="43" width="77.1796875" style="4" customWidth="1"/>
    <col min="44" max="16384" width="11.453125" style="4"/>
  </cols>
  <sheetData>
    <row r="1" spans="1:50" ht="13.5" customHeight="1" thickBot="1" x14ac:dyDescent="0.4">
      <c r="C1" s="241" t="s">
        <v>33</v>
      </c>
      <c r="D1" s="241"/>
      <c r="AN1" s="9"/>
      <c r="AO1" s="4"/>
      <c r="AP1" s="4"/>
    </row>
    <row r="2" spans="1:50" ht="18" thickBot="1" x14ac:dyDescent="0.4">
      <c r="A2" s="1"/>
      <c r="B2" s="15"/>
      <c r="C2" s="241"/>
      <c r="D2" s="241"/>
      <c r="Y2" s="6"/>
      <c r="AD2" s="1"/>
      <c r="AE2" s="41"/>
      <c r="AF2" s="41"/>
      <c r="AG2" s="242" t="s">
        <v>1</v>
      </c>
      <c r="AH2" s="243"/>
      <c r="AI2" s="243"/>
      <c r="AJ2" s="243"/>
      <c r="AK2" s="243"/>
      <c r="AL2" s="243"/>
      <c r="AM2" s="243"/>
      <c r="AN2" s="243"/>
      <c r="AO2" s="243"/>
      <c r="AP2" s="244"/>
    </row>
    <row r="3" spans="1:50" s="8" customFormat="1" ht="74.150000000000006" customHeight="1" x14ac:dyDescent="0.35">
      <c r="A3" s="215" t="s">
        <v>2</v>
      </c>
      <c r="B3" s="217" t="s">
        <v>3</v>
      </c>
      <c r="C3" s="219" t="s">
        <v>4</v>
      </c>
      <c r="D3" s="219" t="s">
        <v>5</v>
      </c>
      <c r="E3" s="221" t="s">
        <v>6</v>
      </c>
      <c r="F3" s="223" t="s">
        <v>7</v>
      </c>
      <c r="G3" s="223" t="s">
        <v>8</v>
      </c>
      <c r="H3" s="223"/>
      <c r="I3" s="223"/>
      <c r="J3" s="223"/>
      <c r="K3" s="223"/>
      <c r="L3" s="223"/>
      <c r="M3" s="223"/>
      <c r="N3" s="223"/>
      <c r="O3" s="225" t="s">
        <v>9</v>
      </c>
      <c r="P3" s="225"/>
      <c r="Q3" s="225"/>
      <c r="R3" s="225"/>
      <c r="S3" s="225"/>
      <c r="T3" s="226" t="s">
        <v>10</v>
      </c>
      <c r="U3" s="226"/>
      <c r="V3" s="226"/>
      <c r="W3" s="226"/>
      <c r="X3" s="226"/>
      <c r="Y3" s="209" t="s">
        <v>115</v>
      </c>
      <c r="Z3" s="226" t="s">
        <v>11</v>
      </c>
      <c r="AA3" s="228" t="s">
        <v>12</v>
      </c>
      <c r="AB3" s="209" t="s">
        <v>93</v>
      </c>
      <c r="AC3" s="209" t="s">
        <v>94</v>
      </c>
      <c r="AD3" s="209" t="s">
        <v>95</v>
      </c>
      <c r="AE3" s="239" t="s">
        <v>13</v>
      </c>
      <c r="AF3" s="239" t="s">
        <v>14</v>
      </c>
      <c r="AG3" s="238" t="s">
        <v>204</v>
      </c>
      <c r="AH3" s="238"/>
      <c r="AI3" s="238"/>
      <c r="AJ3" s="238"/>
      <c r="AK3" s="238"/>
      <c r="AL3" s="238"/>
      <c r="AM3" s="238"/>
      <c r="AN3" s="238"/>
      <c r="AO3" s="236" t="s">
        <v>15</v>
      </c>
      <c r="AP3" s="230" t="s">
        <v>16</v>
      </c>
      <c r="AQ3" s="232" t="s">
        <v>96</v>
      </c>
    </row>
    <row r="4" spans="1:50" s="9" customFormat="1" ht="58.5" customHeight="1" thickBot="1" x14ac:dyDescent="0.4">
      <c r="A4" s="216"/>
      <c r="B4" s="218"/>
      <c r="C4" s="220"/>
      <c r="D4" s="220"/>
      <c r="E4" s="222"/>
      <c r="F4" s="224"/>
      <c r="G4" s="67" t="s">
        <v>34</v>
      </c>
      <c r="H4" s="67" t="s">
        <v>35</v>
      </c>
      <c r="I4" s="67" t="s">
        <v>36</v>
      </c>
      <c r="J4" s="67" t="s">
        <v>37</v>
      </c>
      <c r="K4" s="67" t="s">
        <v>38</v>
      </c>
      <c r="L4" s="67" t="s">
        <v>39</v>
      </c>
      <c r="M4" s="67" t="s">
        <v>40</v>
      </c>
      <c r="N4" s="70" t="s">
        <v>41</v>
      </c>
      <c r="O4" s="71">
        <v>2019</v>
      </c>
      <c r="P4" s="71">
        <v>2020</v>
      </c>
      <c r="Q4" s="71">
        <v>2021</v>
      </c>
      <c r="R4" s="71">
        <v>2022</v>
      </c>
      <c r="S4" s="72" t="s">
        <v>23</v>
      </c>
      <c r="T4" s="68">
        <v>2019</v>
      </c>
      <c r="U4" s="68">
        <v>2020</v>
      </c>
      <c r="V4" s="68">
        <v>2021</v>
      </c>
      <c r="W4" s="68">
        <v>2022</v>
      </c>
      <c r="X4" s="73" t="s">
        <v>23</v>
      </c>
      <c r="Y4" s="210"/>
      <c r="Z4" s="227"/>
      <c r="AA4" s="229"/>
      <c r="AB4" s="210"/>
      <c r="AC4" s="210"/>
      <c r="AD4" s="210"/>
      <c r="AE4" s="240"/>
      <c r="AF4" s="240"/>
      <c r="AG4" s="69" t="s">
        <v>34</v>
      </c>
      <c r="AH4" s="69" t="s">
        <v>35</v>
      </c>
      <c r="AI4" s="69" t="s">
        <v>36</v>
      </c>
      <c r="AJ4" s="69" t="s">
        <v>37</v>
      </c>
      <c r="AK4" s="69" t="s">
        <v>38</v>
      </c>
      <c r="AL4" s="69" t="s">
        <v>39</v>
      </c>
      <c r="AM4" s="69" t="s">
        <v>40</v>
      </c>
      <c r="AN4" s="74" t="s">
        <v>24</v>
      </c>
      <c r="AO4" s="237"/>
      <c r="AP4" s="231"/>
      <c r="AQ4" s="233"/>
    </row>
    <row r="5" spans="1:50" ht="261" customHeight="1" x14ac:dyDescent="0.35">
      <c r="A5" s="75">
        <v>1</v>
      </c>
      <c r="B5" s="60" t="s">
        <v>195</v>
      </c>
      <c r="C5" s="61" t="s">
        <v>42</v>
      </c>
      <c r="D5" s="75" t="s">
        <v>26</v>
      </c>
      <c r="E5" s="75" t="s">
        <v>43</v>
      </c>
      <c r="F5" s="75" t="s">
        <v>44</v>
      </c>
      <c r="G5" s="62">
        <v>0.01</v>
      </c>
      <c r="H5" s="62">
        <v>0.02</v>
      </c>
      <c r="I5" s="62">
        <v>0.03</v>
      </c>
      <c r="J5" s="62">
        <v>0.03</v>
      </c>
      <c r="K5" s="62">
        <v>0</v>
      </c>
      <c r="L5" s="62">
        <v>0</v>
      </c>
      <c r="M5" s="62">
        <v>0</v>
      </c>
      <c r="N5" s="76">
        <f t="shared" ref="N5:N7" si="0">SUM(G5:M5)</f>
        <v>0.09</v>
      </c>
      <c r="O5" s="63">
        <v>0.12</v>
      </c>
      <c r="P5" s="63">
        <v>0.15</v>
      </c>
      <c r="Q5" s="63">
        <v>1</v>
      </c>
      <c r="R5" s="63" t="s">
        <v>45</v>
      </c>
      <c r="S5" s="77">
        <f>Q5</f>
        <v>1</v>
      </c>
      <c r="T5" s="64">
        <v>0</v>
      </c>
      <c r="U5" s="64">
        <v>300</v>
      </c>
      <c r="V5" s="64">
        <v>150</v>
      </c>
      <c r="W5" s="64">
        <v>0</v>
      </c>
      <c r="X5" s="78">
        <f t="shared" ref="X5:X7" si="1">SUM(T5:W5)</f>
        <v>450</v>
      </c>
      <c r="Y5" s="79">
        <v>450</v>
      </c>
      <c r="Z5" s="61" t="s">
        <v>129</v>
      </c>
      <c r="AA5" s="75" t="s">
        <v>28</v>
      </c>
      <c r="AB5" s="75" t="s">
        <v>99</v>
      </c>
      <c r="AC5" s="75" t="s">
        <v>111</v>
      </c>
      <c r="AD5" s="80" t="s">
        <v>46</v>
      </c>
      <c r="AE5" s="66">
        <v>43101</v>
      </c>
      <c r="AF5" s="66">
        <v>44377</v>
      </c>
      <c r="AG5" s="170">
        <v>0.01</v>
      </c>
      <c r="AH5" s="170">
        <v>0.02</v>
      </c>
      <c r="AI5" s="170">
        <v>0.03</v>
      </c>
      <c r="AJ5" s="170">
        <v>0.03</v>
      </c>
      <c r="AK5" s="170">
        <v>0.03</v>
      </c>
      <c r="AL5" s="171">
        <v>0.03</v>
      </c>
      <c r="AM5" s="170">
        <v>0.65</v>
      </c>
      <c r="AN5" s="281">
        <f>SUM(AG5:AM5)</f>
        <v>0.8</v>
      </c>
      <c r="AO5" s="205">
        <v>44505</v>
      </c>
      <c r="AP5" s="196" t="s">
        <v>203</v>
      </c>
      <c r="AQ5" s="38"/>
    </row>
    <row r="6" spans="1:50" s="90" customFormat="1" ht="63.75" customHeight="1" x14ac:dyDescent="0.35">
      <c r="A6" s="17">
        <v>2</v>
      </c>
      <c r="B6" s="18" t="s">
        <v>128</v>
      </c>
      <c r="C6" s="16" t="s">
        <v>120</v>
      </c>
      <c r="D6" s="17" t="s">
        <v>26</v>
      </c>
      <c r="E6" s="17" t="s">
        <v>121</v>
      </c>
      <c r="F6" s="17" t="s">
        <v>44</v>
      </c>
      <c r="G6" s="20">
        <v>0.01</v>
      </c>
      <c r="H6" s="20">
        <v>0.02</v>
      </c>
      <c r="I6" s="20">
        <v>0.03</v>
      </c>
      <c r="J6" s="20">
        <v>0.03</v>
      </c>
      <c r="K6" s="20">
        <v>0.03</v>
      </c>
      <c r="L6" s="20">
        <v>0.03</v>
      </c>
      <c r="M6" s="20">
        <v>0.85</v>
      </c>
      <c r="N6" s="42">
        <f t="shared" si="0"/>
        <v>1</v>
      </c>
      <c r="O6" s="21">
        <v>0.15</v>
      </c>
      <c r="P6" s="21">
        <v>1</v>
      </c>
      <c r="Q6" s="21" t="s">
        <v>45</v>
      </c>
      <c r="R6" s="21" t="s">
        <v>45</v>
      </c>
      <c r="S6" s="43">
        <f>P6</f>
        <v>1</v>
      </c>
      <c r="T6" s="22">
        <v>50</v>
      </c>
      <c r="U6" s="22">
        <v>0</v>
      </c>
      <c r="V6" s="22">
        <v>0</v>
      </c>
      <c r="W6" s="22">
        <v>0</v>
      </c>
      <c r="X6" s="44">
        <f t="shared" si="1"/>
        <v>50</v>
      </c>
      <c r="Y6" s="91">
        <v>50</v>
      </c>
      <c r="Z6" s="16" t="s">
        <v>130</v>
      </c>
      <c r="AA6" s="17" t="s">
        <v>28</v>
      </c>
      <c r="AB6" s="17" t="s">
        <v>122</v>
      </c>
      <c r="AC6" s="17" t="s">
        <v>122</v>
      </c>
      <c r="AD6" s="17" t="s">
        <v>123</v>
      </c>
      <c r="AE6" s="29">
        <v>43101</v>
      </c>
      <c r="AF6" s="29">
        <v>43608</v>
      </c>
      <c r="AG6" s="23">
        <v>0.01</v>
      </c>
      <c r="AH6" s="23">
        <v>0.02</v>
      </c>
      <c r="AI6" s="23">
        <v>0.03</v>
      </c>
      <c r="AJ6" s="23">
        <v>0.03</v>
      </c>
      <c r="AK6" s="23">
        <v>0.03</v>
      </c>
      <c r="AL6" s="23">
        <v>0.03</v>
      </c>
      <c r="AM6" s="23">
        <v>0.85</v>
      </c>
      <c r="AN6" s="46">
        <f>SUM(AG6:AM6)</f>
        <v>1</v>
      </c>
      <c r="AO6" s="35">
        <v>43615</v>
      </c>
      <c r="AP6" s="92" t="s">
        <v>189</v>
      </c>
      <c r="AQ6" s="37"/>
    </row>
    <row r="7" spans="1:50" ht="409.6" customHeight="1" x14ac:dyDescent="0.35">
      <c r="A7" s="75">
        <v>3</v>
      </c>
      <c r="B7" s="18" t="s">
        <v>47</v>
      </c>
      <c r="C7" s="16" t="s">
        <v>112</v>
      </c>
      <c r="D7" s="16" t="s">
        <v>26</v>
      </c>
      <c r="E7" s="17" t="s">
        <v>48</v>
      </c>
      <c r="F7" s="17" t="s">
        <v>44</v>
      </c>
      <c r="G7" s="20">
        <v>0.01</v>
      </c>
      <c r="H7" s="20">
        <v>0.02</v>
      </c>
      <c r="I7" s="20">
        <v>0.03</v>
      </c>
      <c r="J7" s="20">
        <v>0.02</v>
      </c>
      <c r="K7" s="20">
        <v>0.03</v>
      </c>
      <c r="L7" s="20">
        <v>0</v>
      </c>
      <c r="M7" s="20">
        <v>0</v>
      </c>
      <c r="N7" s="42">
        <f t="shared" si="0"/>
        <v>0.11</v>
      </c>
      <c r="O7" s="21">
        <v>0.1</v>
      </c>
      <c r="P7" s="21">
        <v>0.15</v>
      </c>
      <c r="Q7" s="21">
        <v>0.3</v>
      </c>
      <c r="R7" s="21">
        <v>0.65</v>
      </c>
      <c r="S7" s="43">
        <f>R7</f>
        <v>0.65</v>
      </c>
      <c r="T7" s="22">
        <v>3812.6</v>
      </c>
      <c r="U7" s="22">
        <v>14311.77</v>
      </c>
      <c r="V7" s="22">
        <v>46348.97</v>
      </c>
      <c r="W7" s="22">
        <v>111403.19</v>
      </c>
      <c r="X7" s="44">
        <f t="shared" si="1"/>
        <v>175876.53</v>
      </c>
      <c r="Y7" s="65">
        <v>265350</v>
      </c>
      <c r="Z7" s="16" t="s">
        <v>131</v>
      </c>
      <c r="AA7" s="17" t="s">
        <v>113</v>
      </c>
      <c r="AB7" s="16" t="s">
        <v>114</v>
      </c>
      <c r="AC7" s="17"/>
      <c r="AD7" s="16" t="s">
        <v>49</v>
      </c>
      <c r="AE7" s="29">
        <v>42310</v>
      </c>
      <c r="AF7" s="197">
        <v>46996</v>
      </c>
      <c r="AG7" s="23">
        <v>0.01</v>
      </c>
      <c r="AH7" s="23">
        <v>0.02</v>
      </c>
      <c r="AI7" s="23">
        <v>0.03</v>
      </c>
      <c r="AJ7" s="23">
        <v>0.02</v>
      </c>
      <c r="AK7" s="23">
        <v>0.03</v>
      </c>
      <c r="AL7" s="23">
        <v>0</v>
      </c>
      <c r="AM7" s="23">
        <v>0</v>
      </c>
      <c r="AN7" s="46">
        <f>SUM(AG7:AM7)</f>
        <v>0.11</v>
      </c>
      <c r="AO7" s="35">
        <v>46996</v>
      </c>
      <c r="AP7" s="92" t="s">
        <v>206</v>
      </c>
      <c r="AQ7" s="24" t="s">
        <v>197</v>
      </c>
    </row>
    <row r="8" spans="1:50" s="193" customFormat="1" ht="174" customHeight="1" x14ac:dyDescent="0.35">
      <c r="A8" s="17">
        <v>4</v>
      </c>
      <c r="B8" s="18" t="s">
        <v>103</v>
      </c>
      <c r="C8" s="16" t="s">
        <v>50</v>
      </c>
      <c r="D8" s="16" t="s">
        <v>51</v>
      </c>
      <c r="E8" s="16" t="s">
        <v>52</v>
      </c>
      <c r="F8" s="17" t="s">
        <v>53</v>
      </c>
      <c r="G8" s="26">
        <v>0.01</v>
      </c>
      <c r="H8" s="26">
        <v>0.02</v>
      </c>
      <c r="I8" s="26">
        <v>0.03</v>
      </c>
      <c r="J8" s="20">
        <v>0</v>
      </c>
      <c r="K8" s="20">
        <v>0</v>
      </c>
      <c r="L8" s="20">
        <v>0</v>
      </c>
      <c r="M8" s="20">
        <v>0</v>
      </c>
      <c r="N8" s="42">
        <f t="shared" ref="N8:N12" si="2">SUM(G8:M8)</f>
        <v>0.06</v>
      </c>
      <c r="O8" s="27">
        <v>0.5</v>
      </c>
      <c r="P8" s="27">
        <v>1</v>
      </c>
      <c r="Q8" s="27" t="s">
        <v>45</v>
      </c>
      <c r="R8" s="27" t="s">
        <v>45</v>
      </c>
      <c r="S8" s="47">
        <f>P8</f>
        <v>1</v>
      </c>
      <c r="T8" s="28">
        <v>1470</v>
      </c>
      <c r="U8" s="28">
        <v>1470</v>
      </c>
      <c r="V8" s="22">
        <v>0</v>
      </c>
      <c r="W8" s="22">
        <v>0</v>
      </c>
      <c r="X8" s="44">
        <f t="shared" ref="X8:X12" si="3">SUM(T8:W8)</f>
        <v>2940</v>
      </c>
      <c r="Y8" s="22">
        <v>9772.4178190000002</v>
      </c>
      <c r="Z8" s="16" t="s">
        <v>54</v>
      </c>
      <c r="AA8" s="17" t="s">
        <v>55</v>
      </c>
      <c r="AB8" s="17" t="s">
        <v>104</v>
      </c>
      <c r="AC8" s="17" t="s">
        <v>107</v>
      </c>
      <c r="AD8" s="36" t="s">
        <v>56</v>
      </c>
      <c r="AE8" s="29">
        <v>41671</v>
      </c>
      <c r="AF8" s="29">
        <v>44012</v>
      </c>
      <c r="AG8" s="173">
        <f>100%*1%</f>
        <v>0.01</v>
      </c>
      <c r="AH8" s="173">
        <f>100%*2%</f>
        <v>0.02</v>
      </c>
      <c r="AI8" s="173">
        <f>95%*3%</f>
        <v>2.8499999999999998E-2</v>
      </c>
      <c r="AJ8" s="199">
        <v>0.03</v>
      </c>
      <c r="AK8" s="199">
        <f>100%*3%</f>
        <v>0.03</v>
      </c>
      <c r="AL8" s="199">
        <f>100%*3%</f>
        <v>0.03</v>
      </c>
      <c r="AM8" s="199">
        <f>82.5%*85%</f>
        <v>0.70124999999999993</v>
      </c>
      <c r="AN8" s="206">
        <f>SUM(AG8:AM8)</f>
        <v>0.84974999999999989</v>
      </c>
      <c r="AO8" s="48">
        <v>44530</v>
      </c>
      <c r="AP8" s="201" t="s">
        <v>209</v>
      </c>
      <c r="AQ8" s="24"/>
      <c r="AV8" s="202"/>
      <c r="AW8" s="202"/>
      <c r="AX8" s="202"/>
    </row>
    <row r="9" spans="1:50" s="193" customFormat="1" ht="91" x14ac:dyDescent="0.35">
      <c r="A9" s="75">
        <v>5</v>
      </c>
      <c r="B9" s="34" t="s">
        <v>116</v>
      </c>
      <c r="C9" s="16" t="s">
        <v>117</v>
      </c>
      <c r="D9" s="16" t="s">
        <v>51</v>
      </c>
      <c r="E9" s="16" t="s">
        <v>118</v>
      </c>
      <c r="F9" s="17" t="s">
        <v>53</v>
      </c>
      <c r="G9" s="26">
        <v>0.01</v>
      </c>
      <c r="H9" s="26">
        <v>0.02</v>
      </c>
      <c r="I9" s="26">
        <v>0.03</v>
      </c>
      <c r="J9" s="26">
        <v>0.03</v>
      </c>
      <c r="K9" s="26">
        <v>0.03</v>
      </c>
      <c r="L9" s="20">
        <v>0</v>
      </c>
      <c r="M9" s="20">
        <v>0</v>
      </c>
      <c r="N9" s="42">
        <f t="shared" si="2"/>
        <v>0.12</v>
      </c>
      <c r="O9" s="87">
        <v>9.9000000000000008E-3</v>
      </c>
      <c r="P9" s="87">
        <v>0.19800000000000001</v>
      </c>
      <c r="Q9" s="87">
        <v>0.4753</v>
      </c>
      <c r="R9" s="87">
        <v>0.31680000000000003</v>
      </c>
      <c r="S9" s="47">
        <f>O9+P9+Q9+R9</f>
        <v>1</v>
      </c>
      <c r="T9" s="28">
        <v>24.31</v>
      </c>
      <c r="U9" s="28">
        <v>487.9</v>
      </c>
      <c r="V9" s="22">
        <v>1170.96</v>
      </c>
      <c r="W9" s="22">
        <v>780.64</v>
      </c>
      <c r="X9" s="44">
        <f t="shared" si="3"/>
        <v>2463.81</v>
      </c>
      <c r="Y9" s="93">
        <v>2463815245</v>
      </c>
      <c r="Z9" s="16" t="s">
        <v>57</v>
      </c>
      <c r="AA9" s="17" t="s">
        <v>58</v>
      </c>
      <c r="AB9" s="17" t="s">
        <v>108</v>
      </c>
      <c r="AC9" s="17" t="s">
        <v>109</v>
      </c>
      <c r="AD9" s="16" t="s">
        <v>59</v>
      </c>
      <c r="AE9" s="29">
        <v>42961</v>
      </c>
      <c r="AF9" s="29">
        <v>44804</v>
      </c>
      <c r="AG9" s="181">
        <v>0.01</v>
      </c>
      <c r="AH9" s="173">
        <v>0.02</v>
      </c>
      <c r="AI9" s="173">
        <v>0.03</v>
      </c>
      <c r="AJ9" s="173">
        <v>0.03</v>
      </c>
      <c r="AK9" s="173">
        <v>0.03</v>
      </c>
      <c r="AL9" s="199">
        <f>100%*3%</f>
        <v>0.03</v>
      </c>
      <c r="AM9" s="199">
        <f>28.25%*85%</f>
        <v>0.24012499999999998</v>
      </c>
      <c r="AN9" s="206">
        <f>+AM9+AL9+AK9+AJ9+AI9+AH9+AG9</f>
        <v>0.39012500000000006</v>
      </c>
      <c r="AO9" s="48">
        <v>45108</v>
      </c>
      <c r="AP9" s="201" t="s">
        <v>208</v>
      </c>
      <c r="AQ9" s="24"/>
    </row>
    <row r="10" spans="1:50" s="193" customFormat="1" ht="65" x14ac:dyDescent="0.35">
      <c r="A10" s="17">
        <v>6</v>
      </c>
      <c r="B10" s="34" t="s">
        <v>60</v>
      </c>
      <c r="C10" s="16" t="s">
        <v>61</v>
      </c>
      <c r="D10" s="16" t="s">
        <v>51</v>
      </c>
      <c r="E10" s="16" t="s">
        <v>119</v>
      </c>
      <c r="F10" s="17" t="s">
        <v>53</v>
      </c>
      <c r="G10" s="26">
        <v>0.01</v>
      </c>
      <c r="H10" s="26">
        <v>0.02</v>
      </c>
      <c r="I10" s="26">
        <v>0.03</v>
      </c>
      <c r="J10" s="20">
        <v>0</v>
      </c>
      <c r="K10" s="20">
        <v>0</v>
      </c>
      <c r="L10" s="20">
        <v>0</v>
      </c>
      <c r="M10" s="20">
        <v>0</v>
      </c>
      <c r="N10" s="42">
        <f t="shared" si="2"/>
        <v>0.06</v>
      </c>
      <c r="O10" s="89">
        <f>100000/2600100000</f>
        <v>3.8460059228491213E-5</v>
      </c>
      <c r="P10" s="89">
        <f>20000000/2600100000%</f>
        <v>0.76920118456982423</v>
      </c>
      <c r="Q10" s="89">
        <f>600000000/2600100000</f>
        <v>0.23076035537094727</v>
      </c>
      <c r="R10" s="27" t="s">
        <v>45</v>
      </c>
      <c r="S10" s="47">
        <f>SUM(O10:R10)</f>
        <v>1</v>
      </c>
      <c r="T10" s="28">
        <v>0.1</v>
      </c>
      <c r="U10" s="28">
        <v>2000</v>
      </c>
      <c r="V10" s="22">
        <v>600</v>
      </c>
      <c r="W10" s="22">
        <v>0</v>
      </c>
      <c r="X10" s="44">
        <f t="shared" si="3"/>
        <v>2600.1</v>
      </c>
      <c r="Y10" s="93">
        <v>2600100000</v>
      </c>
      <c r="Z10" s="16" t="s">
        <v>57</v>
      </c>
      <c r="AA10" s="17" t="s">
        <v>58</v>
      </c>
      <c r="AB10" s="17" t="s">
        <v>105</v>
      </c>
      <c r="AC10" s="17" t="s">
        <v>105</v>
      </c>
      <c r="AD10" s="16" t="s">
        <v>62</v>
      </c>
      <c r="AE10" s="29">
        <v>42644</v>
      </c>
      <c r="AF10" s="29">
        <v>44323</v>
      </c>
      <c r="AG10" s="173">
        <v>0.01</v>
      </c>
      <c r="AH10" s="173">
        <v>0.02</v>
      </c>
      <c r="AI10" s="173">
        <f>96%*3%</f>
        <v>2.8799999999999999E-2</v>
      </c>
      <c r="AJ10" s="199">
        <v>0.03</v>
      </c>
      <c r="AK10" s="199">
        <f>+(88%*3%)</f>
        <v>2.64E-2</v>
      </c>
      <c r="AL10" s="199">
        <f>+(60%*3%)</f>
        <v>1.7999999999999999E-2</v>
      </c>
      <c r="AM10" s="199">
        <f>+(17%*85%)</f>
        <v>0.14450000000000002</v>
      </c>
      <c r="AN10" s="200">
        <f>SUM(AG10:AM10)</f>
        <v>0.2777</v>
      </c>
      <c r="AO10" s="48">
        <v>44963</v>
      </c>
      <c r="AP10" s="201" t="s">
        <v>198</v>
      </c>
      <c r="AQ10" s="24"/>
    </row>
    <row r="11" spans="1:50" s="193" customFormat="1" ht="39" x14ac:dyDescent="0.35">
      <c r="A11" s="75">
        <v>7</v>
      </c>
      <c r="B11" s="18" t="s">
        <v>63</v>
      </c>
      <c r="C11" s="17" t="s">
        <v>64</v>
      </c>
      <c r="D11" s="16" t="s">
        <v>51</v>
      </c>
      <c r="E11" s="16" t="s">
        <v>65</v>
      </c>
      <c r="F11" s="17" t="s">
        <v>53</v>
      </c>
      <c r="G11" s="26">
        <v>0.01</v>
      </c>
      <c r="H11" s="26">
        <v>0.02</v>
      </c>
      <c r="I11" s="26">
        <v>0.03</v>
      </c>
      <c r="J11" s="20">
        <v>0.03</v>
      </c>
      <c r="K11" s="20">
        <v>0.03</v>
      </c>
      <c r="L11" s="20">
        <v>0.02</v>
      </c>
      <c r="M11" s="20">
        <v>0</v>
      </c>
      <c r="N11" s="42">
        <f t="shared" si="2"/>
        <v>0.13999999999999999</v>
      </c>
      <c r="O11" s="27">
        <v>1</v>
      </c>
      <c r="P11" s="27" t="s">
        <v>45</v>
      </c>
      <c r="Q11" s="27" t="s">
        <v>45</v>
      </c>
      <c r="R11" s="27" t="s">
        <v>45</v>
      </c>
      <c r="S11" s="47">
        <f>O11</f>
        <v>1</v>
      </c>
      <c r="T11" s="28">
        <v>2480</v>
      </c>
      <c r="U11" s="28">
        <v>0</v>
      </c>
      <c r="V11" s="22">
        <v>0</v>
      </c>
      <c r="W11" s="22">
        <v>0</v>
      </c>
      <c r="X11" s="44">
        <f t="shared" si="3"/>
        <v>2480</v>
      </c>
      <c r="Y11" s="22">
        <v>4033.6241180000002</v>
      </c>
      <c r="Z11" s="16" t="s">
        <v>66</v>
      </c>
      <c r="AA11" s="17" t="s">
        <v>67</v>
      </c>
      <c r="AB11" s="17" t="s">
        <v>106</v>
      </c>
      <c r="AC11" s="17" t="s">
        <v>106</v>
      </c>
      <c r="AD11" s="16" t="s">
        <v>68</v>
      </c>
      <c r="AE11" s="29">
        <v>39448</v>
      </c>
      <c r="AF11" s="29">
        <v>43830</v>
      </c>
      <c r="AG11" s="173">
        <v>0.01</v>
      </c>
      <c r="AH11" s="173">
        <v>0.02</v>
      </c>
      <c r="AI11" s="173">
        <v>0.03</v>
      </c>
      <c r="AJ11" s="23">
        <v>0.03</v>
      </c>
      <c r="AK11" s="23">
        <v>0.03</v>
      </c>
      <c r="AL11" s="23">
        <v>0.03</v>
      </c>
      <c r="AM11" s="23">
        <v>0.85</v>
      </c>
      <c r="AN11" s="172">
        <f t="shared" ref="AN11:AN12" si="4">+AM11+AL11+AK11+AJ11+AI11+AH11+AG11</f>
        <v>1</v>
      </c>
      <c r="AO11" s="48">
        <v>43952</v>
      </c>
      <c r="AP11" s="203" t="s">
        <v>199</v>
      </c>
      <c r="AQ11" s="37" t="s">
        <v>124</v>
      </c>
    </row>
    <row r="12" spans="1:50" s="193" customFormat="1" ht="26" x14ac:dyDescent="0.35">
      <c r="A12" s="17">
        <v>8</v>
      </c>
      <c r="B12" s="18" t="s">
        <v>69</v>
      </c>
      <c r="C12" s="17" t="s">
        <v>70</v>
      </c>
      <c r="D12" s="16" t="s">
        <v>51</v>
      </c>
      <c r="E12" s="16" t="s">
        <v>71</v>
      </c>
      <c r="F12" s="17" t="s">
        <v>53</v>
      </c>
      <c r="G12" s="26">
        <v>0.01</v>
      </c>
      <c r="H12" s="26">
        <v>0.02</v>
      </c>
      <c r="I12" s="26">
        <v>0.03</v>
      </c>
      <c r="J12" s="26">
        <v>0.03</v>
      </c>
      <c r="K12" s="26">
        <v>0.03</v>
      </c>
      <c r="L12" s="20">
        <v>0.02</v>
      </c>
      <c r="M12" s="20">
        <v>0</v>
      </c>
      <c r="N12" s="42">
        <f t="shared" si="2"/>
        <v>0.13999999999999999</v>
      </c>
      <c r="O12" s="27">
        <v>1</v>
      </c>
      <c r="P12" s="27" t="s">
        <v>45</v>
      </c>
      <c r="Q12" s="27" t="s">
        <v>45</v>
      </c>
      <c r="R12" s="27" t="s">
        <v>45</v>
      </c>
      <c r="S12" s="47">
        <f>O12</f>
        <v>1</v>
      </c>
      <c r="T12" s="28">
        <v>1462.81</v>
      </c>
      <c r="U12" s="28">
        <v>0</v>
      </c>
      <c r="V12" s="22">
        <v>0</v>
      </c>
      <c r="W12" s="22">
        <v>0</v>
      </c>
      <c r="X12" s="44">
        <f t="shared" si="3"/>
        <v>1462.81</v>
      </c>
      <c r="Y12" s="22">
        <v>3868.1100430000001</v>
      </c>
      <c r="Z12" s="16" t="s">
        <v>66</v>
      </c>
      <c r="AA12" s="17" t="s">
        <v>72</v>
      </c>
      <c r="AB12" s="17" t="s">
        <v>98</v>
      </c>
      <c r="AC12" s="17" t="s">
        <v>98</v>
      </c>
      <c r="AD12" s="39" t="s">
        <v>73</v>
      </c>
      <c r="AE12" s="29">
        <v>39479</v>
      </c>
      <c r="AF12" s="29">
        <v>43830</v>
      </c>
      <c r="AG12" s="174">
        <v>0.01</v>
      </c>
      <c r="AH12" s="174">
        <v>0.02</v>
      </c>
      <c r="AI12" s="174">
        <v>0.03</v>
      </c>
      <c r="AJ12" s="174">
        <v>0.03</v>
      </c>
      <c r="AK12" s="174">
        <v>0.03</v>
      </c>
      <c r="AL12" s="175">
        <v>0.03</v>
      </c>
      <c r="AM12" s="175">
        <v>0.85</v>
      </c>
      <c r="AN12" s="172">
        <f t="shared" si="4"/>
        <v>1</v>
      </c>
      <c r="AO12" s="48">
        <v>43979</v>
      </c>
      <c r="AP12" s="204" t="s">
        <v>196</v>
      </c>
      <c r="AQ12" s="176" t="s">
        <v>124</v>
      </c>
    </row>
    <row r="13" spans="1:50" ht="18" thickBot="1" x14ac:dyDescent="0.4">
      <c r="AL13" s="245" t="s">
        <v>32</v>
      </c>
      <c r="AM13" s="246"/>
      <c r="AN13" s="30">
        <f>AN5*12.5/100+AN6*12.5/100+AN7*12.5/100+AN8*12.5/100+AN9*12.5/100+AN10*12.5/100+AN11*12.5/100+AN12*12.5/100</f>
        <v>0.67844687499999989</v>
      </c>
    </row>
  </sheetData>
  <protectedRanges>
    <protectedRange algorithmName="SHA-512" hashValue="Gcufek3HNtYk8hZIcBxNaydca4LmRN+LajZm9vqFHA29VMq6Jq9k4TTsjS3Yz1KKgdW90YqwAPguVtPRlDVf6g==" saltValue="OLodEqH9HHcF4WnsKnbDyg==" spinCount="100000" sqref="AQ5" name="Reporte Avance_1_2"/>
    <protectedRange algorithmName="SHA-512" hashValue="Gcufek3HNtYk8hZIcBxNaydca4LmRN+LajZm9vqFHA29VMq6Jq9k4TTsjS3Yz1KKgdW90YqwAPguVtPRlDVf6g==" saltValue="OLodEqH9HHcF4WnsKnbDyg==" spinCount="100000" sqref="AQ6" name="Reporte Avance_1_2_1"/>
    <protectedRange algorithmName="SHA-512" hashValue="Gcufek3HNtYk8hZIcBxNaydca4LmRN+LajZm9vqFHA29VMq6Jq9k4TTsjS3Yz1KKgdW90YqwAPguVtPRlDVf6g==" saltValue="OLodEqH9HHcF4WnsKnbDyg==" spinCount="100000" sqref="AQ11:AQ12" name="Reporte Avance_1_1_1"/>
  </protectedRanges>
  <autoFilter ref="A3:AQ12">
    <filterColumn colId="6"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32" showButton="0"/>
    <filterColumn colId="33" showButton="0"/>
    <filterColumn colId="34" showButton="0"/>
    <filterColumn colId="35" showButton="0"/>
    <filterColumn colId="36" showButton="0"/>
    <filterColumn colId="37" showButton="0"/>
    <filterColumn colId="38" showButton="0"/>
  </autoFilter>
  <mergeCells count="24">
    <mergeCell ref="AL13:AM13"/>
    <mergeCell ref="A3:A4"/>
    <mergeCell ref="B3:B4"/>
    <mergeCell ref="C3:C4"/>
    <mergeCell ref="D3:D4"/>
    <mergeCell ref="E3:E4"/>
    <mergeCell ref="AB3:AB4"/>
    <mergeCell ref="AC3:AC4"/>
    <mergeCell ref="C1:D2"/>
    <mergeCell ref="AG2:AP2"/>
    <mergeCell ref="F3:F4"/>
    <mergeCell ref="G3:N3"/>
    <mergeCell ref="O3:S3"/>
    <mergeCell ref="Y3:Y4"/>
    <mergeCell ref="T3:X3"/>
    <mergeCell ref="Z3:Z4"/>
    <mergeCell ref="AA3:AA4"/>
    <mergeCell ref="AD3:AD4"/>
    <mergeCell ref="AE3:AE4"/>
    <mergeCell ref="AQ3:AQ4"/>
    <mergeCell ref="AG3:AN3"/>
    <mergeCell ref="AO3:AO4"/>
    <mergeCell ref="AP3:AP4"/>
    <mergeCell ref="AF3:A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zoomScale="50" zoomScaleNormal="50" workbookViewId="0">
      <pane xSplit="3" ySplit="4" topLeftCell="X5" activePane="bottomRight" state="frozen"/>
      <selection pane="topRight" activeCell="D1" sqref="D1"/>
      <selection pane="bottomLeft" activeCell="A5" sqref="A5"/>
      <selection pane="bottomRight" activeCell="AB13" sqref="AB13"/>
    </sheetView>
  </sheetViews>
  <sheetFormatPr baseColWidth="10" defaultColWidth="11.453125" defaultRowHeight="13" x14ac:dyDescent="0.35"/>
  <cols>
    <col min="1" max="1" width="6.7265625" style="2" customWidth="1"/>
    <col min="2" max="2" width="15.7265625" style="11" customWidth="1"/>
    <col min="3" max="3" width="30.7265625" style="2" customWidth="1"/>
    <col min="4" max="4" width="18" style="2" customWidth="1"/>
    <col min="5" max="5" width="66.7265625" style="2" customWidth="1"/>
    <col min="6" max="6" width="26.7265625" style="2" customWidth="1"/>
    <col min="7" max="7" width="21.1796875" style="2" customWidth="1"/>
    <col min="8" max="11" width="7.7265625" style="2" customWidth="1"/>
    <col min="12" max="12" width="15.1796875" style="2" customWidth="1"/>
    <col min="13" max="13" width="8.453125" style="2" bestFit="1" customWidth="1"/>
    <col min="14" max="14" width="8.7265625" style="2" bestFit="1" customWidth="1"/>
    <col min="15" max="16" width="9.7265625" style="2" bestFit="1" customWidth="1"/>
    <col min="17" max="17" width="14.7265625" style="2" customWidth="1"/>
    <col min="18" max="18" width="25.453125" style="2" customWidth="1"/>
    <col min="19" max="19" width="21.1796875" style="2" customWidth="1"/>
    <col min="20" max="22" width="22.7265625" style="2" customWidth="1"/>
    <col min="23" max="23" width="33.1796875" style="2" customWidth="1"/>
    <col min="24" max="24" width="30.7265625" style="40" customWidth="1"/>
    <col min="25" max="25" width="28.1796875" style="40" customWidth="1"/>
    <col min="26" max="26" width="36" style="193" customWidth="1"/>
    <col min="27" max="27" width="24.7265625" style="193" customWidth="1"/>
    <col min="28" max="28" width="81.7265625" style="193" customWidth="1"/>
    <col min="29" max="29" width="66.1796875" style="193" customWidth="1"/>
    <col min="30" max="16384" width="11.453125" style="193"/>
  </cols>
  <sheetData>
    <row r="1" spans="1:29" ht="13.5" thickBot="1" x14ac:dyDescent="0.4">
      <c r="C1" s="247" t="s">
        <v>74</v>
      </c>
      <c r="D1" s="247"/>
    </row>
    <row r="2" spans="1:29" ht="18" thickBot="1" x14ac:dyDescent="0.4">
      <c r="A2" s="1"/>
      <c r="B2" s="2"/>
      <c r="C2" s="247"/>
      <c r="D2" s="247"/>
      <c r="E2" s="1"/>
      <c r="W2" s="1"/>
      <c r="X2" s="41"/>
      <c r="Y2" s="41"/>
      <c r="Z2" s="242" t="s">
        <v>1</v>
      </c>
      <c r="AA2" s="243"/>
      <c r="AB2" s="244"/>
    </row>
    <row r="3" spans="1:29" s="8" customFormat="1" ht="36" customHeight="1" x14ac:dyDescent="0.35">
      <c r="A3" s="215" t="s">
        <v>2</v>
      </c>
      <c r="B3" s="217" t="s">
        <v>3</v>
      </c>
      <c r="C3" s="219" t="s">
        <v>4</v>
      </c>
      <c r="D3" s="219" t="s">
        <v>5</v>
      </c>
      <c r="E3" s="221" t="s">
        <v>6</v>
      </c>
      <c r="F3" s="223" t="s">
        <v>7</v>
      </c>
      <c r="G3" s="194" t="s">
        <v>75</v>
      </c>
      <c r="H3" s="225" t="s">
        <v>9</v>
      </c>
      <c r="I3" s="225"/>
      <c r="J3" s="225"/>
      <c r="K3" s="225"/>
      <c r="L3" s="225"/>
      <c r="M3" s="226" t="s">
        <v>10</v>
      </c>
      <c r="N3" s="226"/>
      <c r="O3" s="226"/>
      <c r="P3" s="226"/>
      <c r="Q3" s="226"/>
      <c r="R3" s="209" t="s">
        <v>115</v>
      </c>
      <c r="S3" s="223" t="s">
        <v>11</v>
      </c>
      <c r="T3" s="228" t="s">
        <v>12</v>
      </c>
      <c r="U3" s="209" t="s">
        <v>93</v>
      </c>
      <c r="V3" s="209" t="s">
        <v>94</v>
      </c>
      <c r="W3" s="209" t="s">
        <v>95</v>
      </c>
      <c r="X3" s="239" t="s">
        <v>13</v>
      </c>
      <c r="Y3" s="239" t="s">
        <v>14</v>
      </c>
      <c r="Z3" s="86" t="s">
        <v>191</v>
      </c>
      <c r="AA3" s="236" t="s">
        <v>15</v>
      </c>
      <c r="AB3" s="230" t="s">
        <v>16</v>
      </c>
      <c r="AC3" s="232" t="s">
        <v>96</v>
      </c>
    </row>
    <row r="4" spans="1:29" s="9" customFormat="1" ht="28.5" thickBot="1" x14ac:dyDescent="0.4">
      <c r="A4" s="216"/>
      <c r="B4" s="218"/>
      <c r="C4" s="220"/>
      <c r="D4" s="220"/>
      <c r="E4" s="222"/>
      <c r="F4" s="224"/>
      <c r="G4" s="70" t="s">
        <v>76</v>
      </c>
      <c r="H4" s="71">
        <v>2019</v>
      </c>
      <c r="I4" s="71">
        <v>2020</v>
      </c>
      <c r="J4" s="71">
        <v>2021</v>
      </c>
      <c r="K4" s="71">
        <v>2022</v>
      </c>
      <c r="L4" s="72" t="s">
        <v>23</v>
      </c>
      <c r="M4" s="68">
        <v>2019</v>
      </c>
      <c r="N4" s="68">
        <v>2020</v>
      </c>
      <c r="O4" s="68">
        <v>2021</v>
      </c>
      <c r="P4" s="68">
        <v>2022</v>
      </c>
      <c r="Q4" s="195" t="s">
        <v>23</v>
      </c>
      <c r="R4" s="210"/>
      <c r="S4" s="224"/>
      <c r="T4" s="229"/>
      <c r="U4" s="210"/>
      <c r="V4" s="210"/>
      <c r="W4" s="210"/>
      <c r="X4" s="240"/>
      <c r="Y4" s="240"/>
      <c r="Z4" s="74" t="s">
        <v>77</v>
      </c>
      <c r="AA4" s="237"/>
      <c r="AB4" s="231"/>
      <c r="AC4" s="233"/>
    </row>
    <row r="5" spans="1:29" ht="39" x14ac:dyDescent="0.35">
      <c r="A5" s="75">
        <v>1</v>
      </c>
      <c r="B5" s="60" t="s">
        <v>69</v>
      </c>
      <c r="C5" s="75" t="s">
        <v>78</v>
      </c>
      <c r="D5" s="61" t="s">
        <v>51</v>
      </c>
      <c r="E5" s="61" t="s">
        <v>71</v>
      </c>
      <c r="F5" s="75" t="s">
        <v>53</v>
      </c>
      <c r="G5" s="81">
        <v>0.76</v>
      </c>
      <c r="H5" s="81">
        <v>1</v>
      </c>
      <c r="I5" s="81" t="s">
        <v>45</v>
      </c>
      <c r="J5" s="81" t="s">
        <v>45</v>
      </c>
      <c r="K5" s="81" t="s">
        <v>45</v>
      </c>
      <c r="L5" s="81">
        <f>H5</f>
        <v>1</v>
      </c>
      <c r="M5" s="82">
        <v>1330</v>
      </c>
      <c r="N5" s="82">
        <v>0</v>
      </c>
      <c r="O5" s="82">
        <v>0</v>
      </c>
      <c r="P5" s="82">
        <v>0</v>
      </c>
      <c r="Q5" s="83">
        <f>SUM(M5:P5)</f>
        <v>1330</v>
      </c>
      <c r="R5" s="83">
        <v>3868.1100430000001</v>
      </c>
      <c r="S5" s="61" t="s">
        <v>66</v>
      </c>
      <c r="T5" s="75" t="s">
        <v>72</v>
      </c>
      <c r="U5" s="75" t="s">
        <v>98</v>
      </c>
      <c r="V5" s="75" t="s">
        <v>98</v>
      </c>
      <c r="W5" s="84" t="s">
        <v>73</v>
      </c>
      <c r="X5" s="85">
        <v>39479</v>
      </c>
      <c r="Y5" s="85">
        <v>43830</v>
      </c>
      <c r="Z5" s="178">
        <v>1</v>
      </c>
      <c r="AA5" s="177">
        <v>44136</v>
      </c>
      <c r="AB5" s="204" t="s">
        <v>196</v>
      </c>
      <c r="AC5" s="204"/>
    </row>
    <row r="6" spans="1:29" ht="26" x14ac:dyDescent="0.35">
      <c r="A6" s="17">
        <v>2</v>
      </c>
      <c r="B6" s="18" t="s">
        <v>79</v>
      </c>
      <c r="C6" s="16" t="s">
        <v>80</v>
      </c>
      <c r="D6" s="16" t="s">
        <v>51</v>
      </c>
      <c r="E6" s="16" t="s">
        <v>81</v>
      </c>
      <c r="F6" s="17" t="s">
        <v>53</v>
      </c>
      <c r="G6" s="27">
        <v>0.55000000000000004</v>
      </c>
      <c r="H6" s="27">
        <v>1</v>
      </c>
      <c r="I6" s="27" t="s">
        <v>45</v>
      </c>
      <c r="J6" s="27" t="s">
        <v>45</v>
      </c>
      <c r="K6" s="27" t="s">
        <v>45</v>
      </c>
      <c r="L6" s="27">
        <f>H6</f>
        <v>1</v>
      </c>
      <c r="M6" s="49">
        <v>1755.96</v>
      </c>
      <c r="N6" s="33">
        <v>0</v>
      </c>
      <c r="O6" s="33">
        <v>0</v>
      </c>
      <c r="P6" s="33">
        <v>0</v>
      </c>
      <c r="Q6" s="49">
        <f>SUM(M6:P6)</f>
        <v>1755.96</v>
      </c>
      <c r="R6" s="49">
        <v>1777.1707329999999</v>
      </c>
      <c r="S6" s="16" t="s">
        <v>82</v>
      </c>
      <c r="T6" s="17" t="s">
        <v>58</v>
      </c>
      <c r="U6" s="17" t="s">
        <v>99</v>
      </c>
      <c r="V6" s="17" t="s">
        <v>100</v>
      </c>
      <c r="W6" s="16" t="s">
        <v>83</v>
      </c>
      <c r="X6" s="48">
        <v>42522</v>
      </c>
      <c r="Y6" s="48">
        <v>43502</v>
      </c>
      <c r="Z6" s="50">
        <v>1</v>
      </c>
      <c r="AA6" s="88">
        <v>43525</v>
      </c>
      <c r="AB6" s="24" t="s">
        <v>125</v>
      </c>
      <c r="AC6" s="37"/>
    </row>
    <row r="7" spans="1:29" ht="117" x14ac:dyDescent="0.35">
      <c r="A7" s="17">
        <v>3</v>
      </c>
      <c r="B7" s="18" t="s">
        <v>84</v>
      </c>
      <c r="C7" s="16" t="s">
        <v>85</v>
      </c>
      <c r="D7" s="16" t="s">
        <v>51</v>
      </c>
      <c r="E7" s="16" t="s">
        <v>86</v>
      </c>
      <c r="F7" s="17" t="s">
        <v>53</v>
      </c>
      <c r="G7" s="27">
        <v>0.55000000000000004</v>
      </c>
      <c r="H7" s="27">
        <v>1</v>
      </c>
      <c r="I7" s="27" t="s">
        <v>45</v>
      </c>
      <c r="J7" s="27" t="s">
        <v>45</v>
      </c>
      <c r="K7" s="27" t="s">
        <v>45</v>
      </c>
      <c r="L7" s="27">
        <f>H7</f>
        <v>1</v>
      </c>
      <c r="M7" s="49">
        <v>3957.06</v>
      </c>
      <c r="N7" s="33">
        <v>0</v>
      </c>
      <c r="O7" s="33">
        <v>0</v>
      </c>
      <c r="P7" s="33">
        <v>0</v>
      </c>
      <c r="Q7" s="49">
        <f>SUM(M7:P7)</f>
        <v>3957.06</v>
      </c>
      <c r="R7" s="49">
        <v>5599.9048270000003</v>
      </c>
      <c r="S7" s="16" t="s">
        <v>57</v>
      </c>
      <c r="T7" s="17" t="s">
        <v>58</v>
      </c>
      <c r="U7" s="17" t="s">
        <v>101</v>
      </c>
      <c r="V7" s="17" t="s">
        <v>102</v>
      </c>
      <c r="W7" s="16" t="s">
        <v>87</v>
      </c>
      <c r="X7" s="48">
        <v>41305</v>
      </c>
      <c r="Y7" s="48">
        <v>43814</v>
      </c>
      <c r="Z7" s="50">
        <v>1</v>
      </c>
      <c r="AA7" s="88">
        <v>43814</v>
      </c>
      <c r="AB7" s="24" t="s">
        <v>125</v>
      </c>
      <c r="AC7" s="24"/>
    </row>
    <row r="8" spans="1:29" ht="52" x14ac:dyDescent="0.35">
      <c r="A8" s="17">
        <v>4</v>
      </c>
      <c r="B8" s="18" t="s">
        <v>88</v>
      </c>
      <c r="C8" s="17" t="s">
        <v>89</v>
      </c>
      <c r="D8" s="16" t="s">
        <v>51</v>
      </c>
      <c r="E8" s="16" t="s">
        <v>90</v>
      </c>
      <c r="F8" s="17" t="s">
        <v>53</v>
      </c>
      <c r="G8" s="27">
        <v>0.91</v>
      </c>
      <c r="H8" s="27">
        <v>1</v>
      </c>
      <c r="I8" s="27" t="s">
        <v>45</v>
      </c>
      <c r="J8" s="27" t="s">
        <v>45</v>
      </c>
      <c r="K8" s="27" t="s">
        <v>45</v>
      </c>
      <c r="L8" s="27">
        <f>H8</f>
        <v>1</v>
      </c>
      <c r="M8" s="49">
        <v>1700</v>
      </c>
      <c r="N8" s="33">
        <v>0</v>
      </c>
      <c r="O8" s="33">
        <v>0</v>
      </c>
      <c r="P8" s="33">
        <v>0</v>
      </c>
      <c r="Q8" s="49">
        <f>SUM(M8:P8)</f>
        <v>1700</v>
      </c>
      <c r="R8" s="49">
        <v>2580.4143439999998</v>
      </c>
      <c r="S8" s="16" t="s">
        <v>91</v>
      </c>
      <c r="T8" s="17" t="s">
        <v>58</v>
      </c>
      <c r="U8" s="17" t="s">
        <v>99</v>
      </c>
      <c r="V8" s="17" t="s">
        <v>100</v>
      </c>
      <c r="W8" s="16" t="s">
        <v>92</v>
      </c>
      <c r="X8" s="48">
        <v>42583</v>
      </c>
      <c r="Y8" s="48">
        <v>43483</v>
      </c>
      <c r="Z8" s="50">
        <v>1</v>
      </c>
      <c r="AA8" s="88">
        <v>43525</v>
      </c>
      <c r="AB8" s="24" t="s">
        <v>125</v>
      </c>
      <c r="AC8" s="24"/>
    </row>
    <row r="9" spans="1:29" ht="18" thickBot="1" x14ac:dyDescent="0.4">
      <c r="X9" s="245" t="s">
        <v>32</v>
      </c>
      <c r="Y9" s="246"/>
      <c r="Z9" s="30">
        <f>Z5*25/100+Z6*25/100+Z7*25/100+Z8*25/100</f>
        <v>1</v>
      </c>
    </row>
  </sheetData>
  <protectedRanges>
    <protectedRange algorithmName="SHA-512" hashValue="Gcufek3HNtYk8hZIcBxNaydca4LmRN+LajZm9vqFHA29VMq6Jq9k4TTsjS3Yz1KKgdW90YqwAPguVtPRlDVf6g==" saltValue="OLodEqH9HHcF4WnsKnbDyg==" spinCount="100000" sqref="AC6" name="Reporte Avance_1"/>
  </protectedRanges>
  <mergeCells count="22">
    <mergeCell ref="C1:D2"/>
    <mergeCell ref="Z2:AB2"/>
    <mergeCell ref="A3:A4"/>
    <mergeCell ref="B3:B4"/>
    <mergeCell ref="C3:C4"/>
    <mergeCell ref="D3:D4"/>
    <mergeCell ref="E3:E4"/>
    <mergeCell ref="F3:F4"/>
    <mergeCell ref="H3:L3"/>
    <mergeCell ref="M3:Q3"/>
    <mergeCell ref="AA3:AA4"/>
    <mergeCell ref="AB3:AB4"/>
    <mergeCell ref="AC3:AC4"/>
    <mergeCell ref="X9:Y9"/>
    <mergeCell ref="R3:R4"/>
    <mergeCell ref="S3:S4"/>
    <mergeCell ref="T3:T4"/>
    <mergeCell ref="U3:U4"/>
    <mergeCell ref="V3:V4"/>
    <mergeCell ref="W3:W4"/>
    <mergeCell ref="X3:X4"/>
    <mergeCell ref="Y3:Y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zoomScale="40" zoomScaleNormal="40" workbookViewId="0">
      <pane xSplit="3" ySplit="4" topLeftCell="O8" activePane="bottomRight" state="frozen"/>
      <selection pane="topRight" activeCell="D1" sqref="D1"/>
      <selection pane="bottomLeft" activeCell="A5" sqref="A5"/>
      <selection pane="bottomRight" activeCell="W11" sqref="W11"/>
    </sheetView>
  </sheetViews>
  <sheetFormatPr baseColWidth="10" defaultColWidth="11.453125" defaultRowHeight="13" x14ac:dyDescent="0.35"/>
  <cols>
    <col min="1" max="1" width="5.1796875" style="2" customWidth="1"/>
    <col min="2" max="2" width="36.54296875" style="2" customWidth="1"/>
    <col min="3" max="3" width="18" style="2" customWidth="1"/>
    <col min="4" max="4" width="61.1796875" style="2" customWidth="1"/>
    <col min="5" max="5" width="21" style="2" customWidth="1"/>
    <col min="6" max="6" width="19.26953125" style="2" customWidth="1"/>
    <col min="7" max="7" width="7.7265625" style="2" customWidth="1"/>
    <col min="8" max="8" width="6.7265625" style="2" customWidth="1"/>
    <col min="9" max="9" width="7.26953125" style="2" customWidth="1"/>
    <col min="10" max="10" width="6.7265625" style="2" customWidth="1"/>
    <col min="11" max="11" width="15" style="2" customWidth="1"/>
    <col min="12" max="12" width="9.26953125" style="2" customWidth="1"/>
    <col min="13" max="14" width="8.6328125" style="2" customWidth="1"/>
    <col min="15" max="15" width="11.1796875" style="2" customWidth="1"/>
    <col min="16" max="16" width="18.08984375" style="2" customWidth="1"/>
    <col min="17" max="17" width="15.7265625" style="2" customWidth="1"/>
    <col min="18" max="18" width="25.453125" style="2" customWidth="1"/>
    <col min="19" max="19" width="37.08984375" style="2" customWidth="1"/>
    <col min="20" max="20" width="31" style="107" customWidth="1"/>
    <col min="21" max="21" width="30.1796875" style="107" customWidth="1"/>
    <col min="22" max="22" width="33.7265625" style="198" customWidth="1"/>
    <col min="23" max="23" width="24.6328125" style="198" customWidth="1"/>
    <col min="24" max="24" width="71" style="198" customWidth="1"/>
    <col min="25" max="25" width="66.1796875" style="198" customWidth="1"/>
    <col min="26" max="16384" width="11.453125" style="198"/>
  </cols>
  <sheetData>
    <row r="1" spans="1:25" ht="13.5" thickBot="1" x14ac:dyDescent="0.4">
      <c r="A1" s="106"/>
      <c r="B1" s="106"/>
      <c r="C1" s="241" t="s">
        <v>137</v>
      </c>
    </row>
    <row r="2" spans="1:25" ht="18" customHeight="1" thickBot="1" x14ac:dyDescent="0.4">
      <c r="A2" s="106"/>
      <c r="C2" s="241"/>
      <c r="D2" s="1"/>
      <c r="R2" s="1"/>
      <c r="S2" s="1"/>
      <c r="T2" s="1"/>
      <c r="U2" s="1"/>
      <c r="V2" s="255" t="s">
        <v>1</v>
      </c>
      <c r="W2" s="256"/>
      <c r="X2" s="256"/>
      <c r="Y2" s="257"/>
    </row>
    <row r="3" spans="1:25" s="8" customFormat="1" ht="25.5" customHeight="1" x14ac:dyDescent="0.35">
      <c r="A3" s="272" t="s">
        <v>2</v>
      </c>
      <c r="B3" s="215" t="s">
        <v>4</v>
      </c>
      <c r="C3" s="275" t="s">
        <v>5</v>
      </c>
      <c r="D3" s="277" t="s">
        <v>6</v>
      </c>
      <c r="E3" s="279" t="s">
        <v>7</v>
      </c>
      <c r="F3" s="258" t="s">
        <v>138</v>
      </c>
      <c r="G3" s="260" t="s">
        <v>139</v>
      </c>
      <c r="H3" s="261"/>
      <c r="I3" s="261"/>
      <c r="J3" s="261"/>
      <c r="K3" s="262"/>
      <c r="L3" s="263" t="s">
        <v>10</v>
      </c>
      <c r="M3" s="226"/>
      <c r="N3" s="226"/>
      <c r="O3" s="226"/>
      <c r="P3" s="264"/>
      <c r="Q3" s="268" t="s">
        <v>11</v>
      </c>
      <c r="R3" s="270" t="s">
        <v>12</v>
      </c>
      <c r="S3" s="248" t="s">
        <v>140</v>
      </c>
      <c r="T3" s="250" t="s">
        <v>13</v>
      </c>
      <c r="U3" s="252" t="s">
        <v>14</v>
      </c>
      <c r="V3" s="108" t="s">
        <v>207</v>
      </c>
      <c r="W3" s="236" t="s">
        <v>15</v>
      </c>
      <c r="X3" s="232" t="s">
        <v>16</v>
      </c>
      <c r="Y3" s="266" t="s">
        <v>96</v>
      </c>
    </row>
    <row r="4" spans="1:25" s="9" customFormat="1" ht="28.5" thickBot="1" x14ac:dyDescent="0.4">
      <c r="A4" s="273"/>
      <c r="B4" s="274"/>
      <c r="C4" s="276"/>
      <c r="D4" s="278"/>
      <c r="E4" s="280"/>
      <c r="F4" s="259"/>
      <c r="G4" s="109">
        <v>2019</v>
      </c>
      <c r="H4" s="110">
        <v>2020</v>
      </c>
      <c r="I4" s="110">
        <v>2021</v>
      </c>
      <c r="J4" s="111">
        <v>2022</v>
      </c>
      <c r="K4" s="112" t="s">
        <v>23</v>
      </c>
      <c r="L4" s="113">
        <v>2019</v>
      </c>
      <c r="M4" s="114">
        <v>2020</v>
      </c>
      <c r="N4" s="115">
        <v>2021</v>
      </c>
      <c r="O4" s="116">
        <v>2022</v>
      </c>
      <c r="P4" s="117" t="s">
        <v>23</v>
      </c>
      <c r="Q4" s="269"/>
      <c r="R4" s="271"/>
      <c r="S4" s="249"/>
      <c r="T4" s="251"/>
      <c r="U4" s="253"/>
      <c r="V4" s="165" t="s">
        <v>77</v>
      </c>
      <c r="W4" s="254"/>
      <c r="X4" s="265"/>
      <c r="Y4" s="267"/>
    </row>
    <row r="5" spans="1:25" ht="91.5" thickTop="1" x14ac:dyDescent="0.35">
      <c r="A5" s="118">
        <v>1</v>
      </c>
      <c r="B5" s="119" t="s">
        <v>141</v>
      </c>
      <c r="C5" s="120" t="s">
        <v>142</v>
      </c>
      <c r="D5" s="121" t="s">
        <v>143</v>
      </c>
      <c r="E5" s="122" t="s">
        <v>144</v>
      </c>
      <c r="F5" s="123">
        <v>0.27</v>
      </c>
      <c r="G5" s="124">
        <v>0</v>
      </c>
      <c r="H5" s="125">
        <v>1</v>
      </c>
      <c r="I5" s="126">
        <v>0</v>
      </c>
      <c r="J5" s="126">
        <v>0</v>
      </c>
      <c r="K5" s="123">
        <v>1</v>
      </c>
      <c r="L5" s="127" t="s">
        <v>45</v>
      </c>
      <c r="M5" s="128">
        <v>109.99</v>
      </c>
      <c r="N5" s="129" t="s">
        <v>45</v>
      </c>
      <c r="O5" s="129" t="s">
        <v>45</v>
      </c>
      <c r="P5" s="130">
        <f t="shared" ref="P5:P12" si="0">SUM(L5:O5)</f>
        <v>109.99</v>
      </c>
      <c r="Q5" s="131" t="s">
        <v>145</v>
      </c>
      <c r="R5" s="131" t="s">
        <v>146</v>
      </c>
      <c r="S5" s="182"/>
      <c r="T5" s="132" t="s">
        <v>147</v>
      </c>
      <c r="U5" s="183" t="s">
        <v>148</v>
      </c>
      <c r="V5" s="179">
        <v>1</v>
      </c>
      <c r="W5" s="35">
        <v>43830</v>
      </c>
      <c r="X5" s="24" t="s">
        <v>200</v>
      </c>
      <c r="Y5" s="188"/>
    </row>
    <row r="6" spans="1:25" ht="78" x14ac:dyDescent="0.35">
      <c r="A6" s="133">
        <v>2</v>
      </c>
      <c r="B6" s="25" t="s">
        <v>149</v>
      </c>
      <c r="C6" s="19" t="s">
        <v>150</v>
      </c>
      <c r="D6" s="134" t="s">
        <v>151</v>
      </c>
      <c r="E6" s="135" t="s">
        <v>144</v>
      </c>
      <c r="F6" s="136">
        <v>0.17</v>
      </c>
      <c r="G6" s="137">
        <v>0</v>
      </c>
      <c r="H6" s="21">
        <v>1</v>
      </c>
      <c r="I6" s="27">
        <v>0</v>
      </c>
      <c r="J6" s="27">
        <v>0</v>
      </c>
      <c r="K6" s="136">
        <v>1</v>
      </c>
      <c r="L6" s="138" t="s">
        <v>45</v>
      </c>
      <c r="M6" s="139">
        <v>196.6</v>
      </c>
      <c r="N6" s="22" t="s">
        <v>45</v>
      </c>
      <c r="O6" s="22" t="s">
        <v>45</v>
      </c>
      <c r="P6" s="140">
        <f t="shared" si="0"/>
        <v>196.6</v>
      </c>
      <c r="Q6" s="141" t="s">
        <v>145</v>
      </c>
      <c r="R6" s="141" t="s">
        <v>146</v>
      </c>
      <c r="S6" s="184" t="s">
        <v>152</v>
      </c>
      <c r="T6" s="34" t="s">
        <v>147</v>
      </c>
      <c r="U6" s="185" t="s">
        <v>148</v>
      </c>
      <c r="V6" s="179">
        <v>1</v>
      </c>
      <c r="W6" s="166">
        <v>44561</v>
      </c>
      <c r="X6" s="24" t="s">
        <v>200</v>
      </c>
      <c r="Y6" s="188"/>
    </row>
    <row r="7" spans="1:25" ht="117" x14ac:dyDescent="0.35">
      <c r="A7" s="133">
        <v>3</v>
      </c>
      <c r="B7" s="25" t="s">
        <v>153</v>
      </c>
      <c r="C7" s="19" t="s">
        <v>154</v>
      </c>
      <c r="D7" s="134" t="s">
        <v>155</v>
      </c>
      <c r="E7" s="135" t="s">
        <v>144</v>
      </c>
      <c r="F7" s="136">
        <v>0.1</v>
      </c>
      <c r="G7" s="137">
        <v>0</v>
      </c>
      <c r="H7" s="21">
        <v>1</v>
      </c>
      <c r="I7" s="27">
        <v>0</v>
      </c>
      <c r="J7" s="27">
        <v>0</v>
      </c>
      <c r="K7" s="136">
        <v>1</v>
      </c>
      <c r="L7" s="138" t="s">
        <v>45</v>
      </c>
      <c r="M7" s="139">
        <v>114.64</v>
      </c>
      <c r="N7" s="22" t="s">
        <v>45</v>
      </c>
      <c r="O7" s="22" t="s">
        <v>45</v>
      </c>
      <c r="P7" s="140">
        <f t="shared" si="0"/>
        <v>114.64</v>
      </c>
      <c r="Q7" s="141" t="s">
        <v>145</v>
      </c>
      <c r="R7" s="141" t="s">
        <v>146</v>
      </c>
      <c r="S7" s="184" t="s">
        <v>156</v>
      </c>
      <c r="T7" s="34" t="s">
        <v>147</v>
      </c>
      <c r="U7" s="185" t="s">
        <v>148</v>
      </c>
      <c r="V7" s="179">
        <v>1</v>
      </c>
      <c r="W7" s="166">
        <v>44225</v>
      </c>
      <c r="X7" s="24" t="s">
        <v>200</v>
      </c>
      <c r="Y7" s="188"/>
    </row>
    <row r="8" spans="1:25" ht="104" x14ac:dyDescent="0.35">
      <c r="A8" s="133">
        <v>4</v>
      </c>
      <c r="B8" s="25" t="s">
        <v>157</v>
      </c>
      <c r="C8" s="19" t="s">
        <v>158</v>
      </c>
      <c r="D8" s="134" t="s">
        <v>159</v>
      </c>
      <c r="E8" s="135" t="s">
        <v>144</v>
      </c>
      <c r="F8" s="136">
        <v>0.1</v>
      </c>
      <c r="G8" s="137">
        <v>0</v>
      </c>
      <c r="H8" s="21">
        <v>1</v>
      </c>
      <c r="I8" s="27">
        <v>0</v>
      </c>
      <c r="J8" s="27">
        <v>0</v>
      </c>
      <c r="K8" s="136">
        <v>1</v>
      </c>
      <c r="L8" s="138" t="s">
        <v>45</v>
      </c>
      <c r="M8" s="139">
        <v>168.82</v>
      </c>
      <c r="N8" s="22" t="s">
        <v>45</v>
      </c>
      <c r="O8" s="22" t="s">
        <v>45</v>
      </c>
      <c r="P8" s="140">
        <f t="shared" si="0"/>
        <v>168.82</v>
      </c>
      <c r="Q8" s="141" t="s">
        <v>145</v>
      </c>
      <c r="R8" s="141" t="s">
        <v>146</v>
      </c>
      <c r="S8" s="184" t="s">
        <v>160</v>
      </c>
      <c r="T8" s="34" t="s">
        <v>147</v>
      </c>
      <c r="U8" s="185" t="s">
        <v>148</v>
      </c>
      <c r="V8" s="179">
        <v>1</v>
      </c>
      <c r="W8" s="166">
        <v>44285</v>
      </c>
      <c r="X8" s="24" t="s">
        <v>200</v>
      </c>
      <c r="Y8" s="188"/>
    </row>
    <row r="9" spans="1:25" ht="65" x14ac:dyDescent="0.35">
      <c r="A9" s="133">
        <v>5</v>
      </c>
      <c r="B9" s="25" t="s">
        <v>161</v>
      </c>
      <c r="C9" s="19" t="s">
        <v>162</v>
      </c>
      <c r="D9" s="134" t="s">
        <v>163</v>
      </c>
      <c r="E9" s="135" t="s">
        <v>144</v>
      </c>
      <c r="F9" s="136">
        <v>0.33</v>
      </c>
      <c r="G9" s="137">
        <v>0</v>
      </c>
      <c r="H9" s="21">
        <v>1</v>
      </c>
      <c r="I9" s="27">
        <v>0</v>
      </c>
      <c r="J9" s="27">
        <v>0</v>
      </c>
      <c r="K9" s="136">
        <v>1</v>
      </c>
      <c r="L9" s="138" t="s">
        <v>45</v>
      </c>
      <c r="M9" s="139">
        <v>345.63</v>
      </c>
      <c r="N9" s="22" t="s">
        <v>45</v>
      </c>
      <c r="O9" s="22" t="s">
        <v>45</v>
      </c>
      <c r="P9" s="140">
        <f t="shared" si="0"/>
        <v>345.63</v>
      </c>
      <c r="Q9" s="141" t="s">
        <v>145</v>
      </c>
      <c r="R9" s="141" t="s">
        <v>146</v>
      </c>
      <c r="S9" s="184" t="s">
        <v>164</v>
      </c>
      <c r="T9" s="34" t="s">
        <v>147</v>
      </c>
      <c r="U9" s="185" t="s">
        <v>148</v>
      </c>
      <c r="V9" s="179">
        <v>1</v>
      </c>
      <c r="W9" s="166">
        <v>44560</v>
      </c>
      <c r="X9" s="24" t="s">
        <v>200</v>
      </c>
      <c r="Y9" s="188"/>
    </row>
    <row r="10" spans="1:25" ht="65" x14ac:dyDescent="0.35">
      <c r="A10" s="133">
        <v>6</v>
      </c>
      <c r="B10" s="25" t="s">
        <v>165</v>
      </c>
      <c r="C10" s="19" t="s">
        <v>166</v>
      </c>
      <c r="D10" s="134" t="s">
        <v>167</v>
      </c>
      <c r="E10" s="135" t="s">
        <v>144</v>
      </c>
      <c r="F10" s="136">
        <v>0.52</v>
      </c>
      <c r="G10" s="137">
        <v>0</v>
      </c>
      <c r="H10" s="21">
        <v>1</v>
      </c>
      <c r="I10" s="27">
        <v>0</v>
      </c>
      <c r="J10" s="27">
        <v>0</v>
      </c>
      <c r="K10" s="136">
        <v>1</v>
      </c>
      <c r="L10" s="138" t="s">
        <v>45</v>
      </c>
      <c r="M10" s="139">
        <v>215.19</v>
      </c>
      <c r="N10" s="22" t="s">
        <v>45</v>
      </c>
      <c r="O10" s="22" t="s">
        <v>45</v>
      </c>
      <c r="P10" s="140">
        <f t="shared" si="0"/>
        <v>215.19</v>
      </c>
      <c r="Q10" s="141" t="s">
        <v>145</v>
      </c>
      <c r="R10" s="141" t="s">
        <v>146</v>
      </c>
      <c r="S10" s="184" t="s">
        <v>168</v>
      </c>
      <c r="T10" s="34" t="s">
        <v>147</v>
      </c>
      <c r="U10" s="185" t="s">
        <v>148</v>
      </c>
      <c r="V10" s="179">
        <v>1</v>
      </c>
      <c r="W10" s="166">
        <v>43689</v>
      </c>
      <c r="X10" s="24" t="s">
        <v>200</v>
      </c>
      <c r="Y10" s="188"/>
    </row>
    <row r="11" spans="1:25" ht="78" x14ac:dyDescent="0.35">
      <c r="A11" s="133">
        <v>7</v>
      </c>
      <c r="B11" s="25" t="s">
        <v>169</v>
      </c>
      <c r="C11" s="19" t="s">
        <v>170</v>
      </c>
      <c r="D11" s="134" t="s">
        <v>171</v>
      </c>
      <c r="E11" s="135" t="s">
        <v>144</v>
      </c>
      <c r="F11" s="136">
        <v>0.32</v>
      </c>
      <c r="G11" s="137">
        <v>0</v>
      </c>
      <c r="H11" s="21">
        <v>1</v>
      </c>
      <c r="I11" s="27">
        <v>0</v>
      </c>
      <c r="J11" s="27">
        <v>0</v>
      </c>
      <c r="K11" s="136">
        <v>1</v>
      </c>
      <c r="L11" s="138" t="s">
        <v>45</v>
      </c>
      <c r="M11" s="22">
        <v>501.16</v>
      </c>
      <c r="N11" s="22" t="s">
        <v>45</v>
      </c>
      <c r="O11" s="22" t="s">
        <v>45</v>
      </c>
      <c r="P11" s="140">
        <f t="shared" si="0"/>
        <v>501.16</v>
      </c>
      <c r="Q11" s="141" t="s">
        <v>145</v>
      </c>
      <c r="R11" s="141" t="s">
        <v>146</v>
      </c>
      <c r="S11" s="184" t="s">
        <v>172</v>
      </c>
      <c r="T11" s="34" t="s">
        <v>147</v>
      </c>
      <c r="U11" s="185" t="s">
        <v>148</v>
      </c>
      <c r="V11" s="179">
        <v>1</v>
      </c>
      <c r="W11" s="166" t="s">
        <v>201</v>
      </c>
      <c r="X11" s="24" t="s">
        <v>200</v>
      </c>
      <c r="Y11" s="188"/>
    </row>
    <row r="12" spans="1:25" ht="39" x14ac:dyDescent="0.35">
      <c r="A12" s="142">
        <v>8</v>
      </c>
      <c r="B12" s="25" t="s">
        <v>173</v>
      </c>
      <c r="C12" s="19" t="s">
        <v>174</v>
      </c>
      <c r="D12" s="134" t="s">
        <v>175</v>
      </c>
      <c r="E12" s="135" t="s">
        <v>144</v>
      </c>
      <c r="F12" s="136">
        <v>0.2</v>
      </c>
      <c r="G12" s="137">
        <v>0</v>
      </c>
      <c r="H12" s="21">
        <v>1</v>
      </c>
      <c r="I12" s="27">
        <v>0</v>
      </c>
      <c r="J12" s="27">
        <v>0</v>
      </c>
      <c r="K12" s="136">
        <v>1</v>
      </c>
      <c r="L12" s="138" t="s">
        <v>45</v>
      </c>
      <c r="M12" s="22">
        <v>176.08</v>
      </c>
      <c r="N12" s="22" t="s">
        <v>45</v>
      </c>
      <c r="O12" s="22" t="s">
        <v>45</v>
      </c>
      <c r="P12" s="140">
        <f t="shared" si="0"/>
        <v>176.08</v>
      </c>
      <c r="Q12" s="141" t="s">
        <v>145</v>
      </c>
      <c r="R12" s="141" t="s">
        <v>146</v>
      </c>
      <c r="S12" s="186"/>
      <c r="T12" s="34" t="s">
        <v>147</v>
      </c>
      <c r="U12" s="185" t="s">
        <v>148</v>
      </c>
      <c r="V12" s="179">
        <v>0.9</v>
      </c>
      <c r="W12" s="166">
        <v>44560</v>
      </c>
      <c r="X12" s="24" t="s">
        <v>190</v>
      </c>
      <c r="Y12" s="188"/>
    </row>
    <row r="13" spans="1:25" ht="78" x14ac:dyDescent="0.35">
      <c r="A13" s="142">
        <v>9</v>
      </c>
      <c r="B13" s="143" t="s">
        <v>176</v>
      </c>
      <c r="C13" s="144" t="s">
        <v>57</v>
      </c>
      <c r="D13" s="36" t="s">
        <v>177</v>
      </c>
      <c r="E13" s="135" t="s">
        <v>144</v>
      </c>
      <c r="F13" s="145">
        <v>0.5</v>
      </c>
      <c r="G13" s="137">
        <v>0</v>
      </c>
      <c r="H13" s="27">
        <v>0</v>
      </c>
      <c r="I13" s="21">
        <v>1</v>
      </c>
      <c r="J13" s="17">
        <v>0</v>
      </c>
      <c r="K13" s="136">
        <v>1</v>
      </c>
      <c r="L13" s="138" t="s">
        <v>45</v>
      </c>
      <c r="M13" s="22" t="s">
        <v>45</v>
      </c>
      <c r="N13" s="22">
        <v>2725</v>
      </c>
      <c r="O13" s="22" t="s">
        <v>45</v>
      </c>
      <c r="P13" s="140">
        <v>2725</v>
      </c>
      <c r="Q13" s="141" t="s">
        <v>178</v>
      </c>
      <c r="R13" s="141" t="s">
        <v>57</v>
      </c>
      <c r="S13" s="184" t="s">
        <v>179</v>
      </c>
      <c r="T13" s="34" t="s">
        <v>180</v>
      </c>
      <c r="U13" s="185" t="s">
        <v>181</v>
      </c>
      <c r="V13" s="207">
        <v>0.82</v>
      </c>
      <c r="W13" s="35">
        <v>44530</v>
      </c>
      <c r="X13" s="180" t="s">
        <v>192</v>
      </c>
      <c r="Y13" s="188"/>
    </row>
    <row r="14" spans="1:25" ht="78.5" thickBot="1" x14ac:dyDescent="0.4">
      <c r="A14" s="146">
        <v>10</v>
      </c>
      <c r="B14" s="147" t="s">
        <v>182</v>
      </c>
      <c r="C14" s="148" t="s">
        <v>57</v>
      </c>
      <c r="D14" s="149" t="s">
        <v>183</v>
      </c>
      <c r="E14" s="150" t="s">
        <v>144</v>
      </c>
      <c r="F14" s="151">
        <v>0.12</v>
      </c>
      <c r="G14" s="152">
        <v>0</v>
      </c>
      <c r="H14" s="153">
        <v>0</v>
      </c>
      <c r="I14" s="153">
        <v>0</v>
      </c>
      <c r="J14" s="154">
        <v>1</v>
      </c>
      <c r="K14" s="155">
        <v>1</v>
      </c>
      <c r="L14" s="156" t="s">
        <v>45</v>
      </c>
      <c r="M14" s="157" t="s">
        <v>45</v>
      </c>
      <c r="N14" s="157">
        <v>3650</v>
      </c>
      <c r="O14" s="157" t="s">
        <v>45</v>
      </c>
      <c r="P14" s="158">
        <v>3650</v>
      </c>
      <c r="Q14" s="159" t="s">
        <v>184</v>
      </c>
      <c r="R14" s="159" t="s">
        <v>57</v>
      </c>
      <c r="S14" s="160" t="s">
        <v>185</v>
      </c>
      <c r="T14" s="161" t="s">
        <v>147</v>
      </c>
      <c r="U14" s="187" t="s">
        <v>186</v>
      </c>
      <c r="V14" s="208">
        <v>0.25</v>
      </c>
      <c r="W14" s="189">
        <v>45626</v>
      </c>
      <c r="X14" s="190" t="s">
        <v>193</v>
      </c>
      <c r="Y14" s="191"/>
    </row>
    <row r="16" spans="1:25" x14ac:dyDescent="0.35">
      <c r="P16" s="192"/>
    </row>
    <row r="18" spans="16:17" x14ac:dyDescent="0.35">
      <c r="P18" s="192">
        <f>+P6+P7+P8+P9+P11+P12</f>
        <v>1502.93</v>
      </c>
    </row>
    <row r="19" spans="16:17" x14ac:dyDescent="0.35">
      <c r="Q19" s="162"/>
    </row>
    <row r="20" spans="16:17" x14ac:dyDescent="0.35">
      <c r="Q20" s="163"/>
    </row>
  </sheetData>
  <protectedRanges>
    <protectedRange algorithmName="SHA-512" hashValue="Gcufek3HNtYk8hZIcBxNaydca4LmRN+LajZm9vqFHA29VMq6Jq9k4TTsjS3Yz1KKgdW90YqwAPguVtPRlDVf6g==" saltValue="OLodEqH9HHcF4WnsKnbDyg==" spinCount="100000" sqref="Y5:Y14" name="Reporte Avance_1"/>
  </protectedRanges>
  <mergeCells count="18">
    <mergeCell ref="A3:A4"/>
    <mergeCell ref="B3:B4"/>
    <mergeCell ref="C3:C4"/>
    <mergeCell ref="D3:D4"/>
    <mergeCell ref="E3:E4"/>
    <mergeCell ref="S3:S4"/>
    <mergeCell ref="T3:T4"/>
    <mergeCell ref="U3:U4"/>
    <mergeCell ref="W3:W4"/>
    <mergeCell ref="C1:C2"/>
    <mergeCell ref="V2:Y2"/>
    <mergeCell ref="F3:F4"/>
    <mergeCell ref="G3:K3"/>
    <mergeCell ref="L3:P3"/>
    <mergeCell ref="X3:X4"/>
    <mergeCell ref="Y3:Y4"/>
    <mergeCell ref="Q3:Q4"/>
    <mergeCell ref="R3:R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Preinversion PIAAG</vt:lpstr>
      <vt:lpstr>Preinversion+Ejecucion PIAAG</vt:lpstr>
      <vt:lpstr>Ejecucion PIAAG</vt:lpstr>
      <vt:lpstr>Proyectos Gestion PIAAG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dc:creator>
  <cp:lastModifiedBy>lcascante</cp:lastModifiedBy>
  <dcterms:created xsi:type="dcterms:W3CDTF">2019-09-10T19:55:39Z</dcterms:created>
  <dcterms:modified xsi:type="dcterms:W3CDTF">2021-10-01T18:25:35Z</dcterms:modified>
</cp:coreProperties>
</file>